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RACUNOVODSTVO\IZVJEŠTAJI\2026\IZVRŠENJE\1-6\"/>
    </mc:Choice>
  </mc:AlternateContent>
  <xr:revisionPtr revIDLastSave="0" documentId="13_ncr:1_{408FB7CD-991A-41CB-B338-598543B5FDD1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7" r:id="rId7"/>
  </sheets>
  <definedNames>
    <definedName name="_xlnm.Print_Area" localSheetId="1">' Račun prihoda i rashoda'!$B$1:$L$116</definedName>
    <definedName name="_xlnm.Print_Area" localSheetId="6">'POSEBNI DIO'!$A$1:$H$146</definedName>
    <definedName name="_xlnm.Print_Area" localSheetId="2">'Rashodi prema izvorima finan'!$A$1:$H$42</definedName>
    <definedName name="_xlnm.Print_Area" localSheetId="0">SAŽETAK!$B$1:$L$42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J25" i="5"/>
  <c r="K25" i="5"/>
  <c r="L25" i="5"/>
  <c r="I25" i="5"/>
  <c r="G34" i="7"/>
  <c r="G37" i="7"/>
  <c r="G32" i="7"/>
  <c r="G134" i="7"/>
  <c r="G142" i="7"/>
  <c r="F142" i="7"/>
  <c r="E142" i="7"/>
  <c r="E141" i="7" s="1"/>
  <c r="E140" i="7" s="1"/>
  <c r="H137" i="7"/>
  <c r="H138" i="7"/>
  <c r="H139" i="7"/>
  <c r="E134" i="7"/>
  <c r="E133" i="7" s="1"/>
  <c r="E132" i="7" s="1"/>
  <c r="G117" i="7"/>
  <c r="H118" i="7"/>
  <c r="E117" i="7"/>
  <c r="G91" i="7"/>
  <c r="G17" i="7" s="1"/>
  <c r="E91" i="7"/>
  <c r="E17" i="7" s="1"/>
  <c r="F17" i="7" s="1"/>
  <c r="H96" i="7"/>
  <c r="H95" i="7"/>
  <c r="H94" i="7"/>
  <c r="H92" i="7"/>
  <c r="H93" i="7"/>
  <c r="E73" i="7"/>
  <c r="G73" i="7"/>
  <c r="F74" i="7"/>
  <c r="H74" i="7" s="1"/>
  <c r="H75" i="7"/>
  <c r="H76" i="7"/>
  <c r="H77" i="7"/>
  <c r="F78" i="7"/>
  <c r="H79" i="7"/>
  <c r="H80" i="7"/>
  <c r="F81" i="7"/>
  <c r="H81" i="7" s="1"/>
  <c r="F82" i="7"/>
  <c r="H82" i="7" s="1"/>
  <c r="F83" i="7"/>
  <c r="H83" i="7" s="1"/>
  <c r="G64" i="7"/>
  <c r="E64" i="7"/>
  <c r="J6" i="8"/>
  <c r="K6" i="8"/>
  <c r="L6" i="8"/>
  <c r="I6" i="8"/>
  <c r="J6" i="5"/>
  <c r="K6" i="5"/>
  <c r="L6" i="5"/>
  <c r="I6" i="5"/>
  <c r="N10" i="3"/>
  <c r="O10" i="3"/>
  <c r="P10" i="3"/>
  <c r="M10" i="3"/>
  <c r="J54" i="3"/>
  <c r="N50" i="3"/>
  <c r="O50" i="3"/>
  <c r="M50" i="3"/>
  <c r="J62" i="3"/>
  <c r="J58" i="3"/>
  <c r="J20" i="1"/>
  <c r="E17" i="5"/>
  <c r="H17" i="5" s="1"/>
  <c r="G17" i="5"/>
  <c r="D13" i="5"/>
  <c r="F13" i="5"/>
  <c r="C13" i="5"/>
  <c r="G14" i="5"/>
  <c r="G15" i="5"/>
  <c r="G16" i="5"/>
  <c r="C7" i="5"/>
  <c r="J46" i="3"/>
  <c r="J44" i="3"/>
  <c r="J43" i="3"/>
  <c r="J40" i="3"/>
  <c r="J39" i="3"/>
  <c r="J11" i="3" s="1"/>
  <c r="J10" i="3" s="1"/>
  <c r="J33" i="3"/>
  <c r="J30" i="3"/>
  <c r="J27" i="3"/>
  <c r="J12" i="3"/>
  <c r="H33" i="3"/>
  <c r="I33" i="3"/>
  <c r="G33" i="3"/>
  <c r="G11" i="3" s="1"/>
  <c r="G34" i="3"/>
  <c r="G31" i="3"/>
  <c r="G30" i="3"/>
  <c r="G27" i="3"/>
  <c r="G12" i="3"/>
  <c r="H11" i="3"/>
  <c r="I11" i="3"/>
  <c r="I12" i="3"/>
  <c r="E22" i="7"/>
  <c r="G141" i="7"/>
  <c r="G140" i="7" s="1"/>
  <c r="F146" i="7"/>
  <c r="H146" i="7" s="1"/>
  <c r="F145" i="7"/>
  <c r="H145" i="7" s="1"/>
  <c r="F143" i="7"/>
  <c r="H143" i="7" s="1"/>
  <c r="F136" i="7"/>
  <c r="H136" i="7" s="1"/>
  <c r="F135" i="7"/>
  <c r="H135" i="7" s="1"/>
  <c r="F123" i="7"/>
  <c r="H123" i="7" s="1"/>
  <c r="F124" i="7"/>
  <c r="H124" i="7" s="1"/>
  <c r="F125" i="7"/>
  <c r="H125" i="7" s="1"/>
  <c r="F126" i="7"/>
  <c r="H126" i="7" s="1"/>
  <c r="F127" i="7"/>
  <c r="H127" i="7" s="1"/>
  <c r="F122" i="7"/>
  <c r="G121" i="7"/>
  <c r="G120" i="7" s="1"/>
  <c r="E121" i="7"/>
  <c r="E120" i="7" s="1"/>
  <c r="E21" i="7" s="1"/>
  <c r="F21" i="7" s="1"/>
  <c r="H131" i="7"/>
  <c r="F103" i="7"/>
  <c r="H103" i="7" s="1"/>
  <c r="H105" i="7"/>
  <c r="G102" i="7"/>
  <c r="E102" i="7"/>
  <c r="F100" i="7"/>
  <c r="F99" i="7" s="1"/>
  <c r="G99" i="7"/>
  <c r="G18" i="7" s="1"/>
  <c r="E99" i="7"/>
  <c r="E18" i="7" s="1"/>
  <c r="F18" i="7" s="1"/>
  <c r="F98" i="7"/>
  <c r="H98" i="7" s="1"/>
  <c r="F97" i="7"/>
  <c r="H97" i="7" s="1"/>
  <c r="F49" i="7"/>
  <c r="F36" i="7"/>
  <c r="E31" i="7"/>
  <c r="F60" i="7"/>
  <c r="H60" i="7" s="1"/>
  <c r="G59" i="7"/>
  <c r="E59" i="7"/>
  <c r="E57" i="7"/>
  <c r="D32" i="5"/>
  <c r="E37" i="5"/>
  <c r="G36" i="5"/>
  <c r="E36" i="5"/>
  <c r="H36" i="5" s="1"/>
  <c r="D27" i="5"/>
  <c r="D26" i="5" s="1"/>
  <c r="C32" i="5"/>
  <c r="G38" i="5"/>
  <c r="E38" i="5"/>
  <c r="H38" i="5" s="1"/>
  <c r="G33" i="5"/>
  <c r="G34" i="5"/>
  <c r="G35" i="5"/>
  <c r="E35" i="5"/>
  <c r="H35" i="5" s="1"/>
  <c r="E34" i="5"/>
  <c r="H34" i="5" s="1"/>
  <c r="E33" i="5"/>
  <c r="D8" i="5"/>
  <c r="I51" i="3"/>
  <c r="H51" i="3"/>
  <c r="H50" i="3" s="1"/>
  <c r="I77" i="3"/>
  <c r="I111" i="3"/>
  <c r="I100" i="3"/>
  <c r="I99" i="3"/>
  <c r="H111" i="3"/>
  <c r="H73" i="3"/>
  <c r="H54" i="3"/>
  <c r="H65" i="3"/>
  <c r="H109" i="3"/>
  <c r="J93" i="3"/>
  <c r="I94" i="3"/>
  <c r="K93" i="3"/>
  <c r="K94" i="3"/>
  <c r="L94" i="3"/>
  <c r="H92" i="3"/>
  <c r="I92" i="3"/>
  <c r="H93" i="3"/>
  <c r="I93" i="3"/>
  <c r="L93" i="3" s="1"/>
  <c r="G93" i="3"/>
  <c r="G92" i="3" s="1"/>
  <c r="G95" i="3"/>
  <c r="H78" i="3"/>
  <c r="H74" i="3"/>
  <c r="H75" i="3"/>
  <c r="H72" i="3"/>
  <c r="H76" i="3"/>
  <c r="H58" i="3"/>
  <c r="H56" i="3"/>
  <c r="H63" i="3"/>
  <c r="H62" i="3"/>
  <c r="H61" i="3"/>
  <c r="F134" i="7" l="1"/>
  <c r="F133" i="7" s="1"/>
  <c r="F132" i="7" s="1"/>
  <c r="F91" i="7"/>
  <c r="H91" i="7" s="1"/>
  <c r="F73" i="7"/>
  <c r="H73" i="7" s="1"/>
  <c r="H78" i="7"/>
  <c r="G20" i="7"/>
  <c r="H17" i="7"/>
  <c r="H18" i="7"/>
  <c r="F141" i="7"/>
  <c r="F140" i="7" s="1"/>
  <c r="E20" i="7"/>
  <c r="F20" i="7" s="1"/>
  <c r="G21" i="7"/>
  <c r="H21" i="7" s="1"/>
  <c r="E32" i="5"/>
  <c r="G133" i="7"/>
  <c r="G132" i="7" s="1"/>
  <c r="F102" i="7"/>
  <c r="F121" i="7"/>
  <c r="F120" i="7" s="1"/>
  <c r="H120" i="7" s="1"/>
  <c r="H122" i="7"/>
  <c r="H99" i="7"/>
  <c r="H102" i="7"/>
  <c r="H100" i="7"/>
  <c r="F59" i="7"/>
  <c r="H59" i="7" s="1"/>
  <c r="H33" i="5"/>
  <c r="H21" i="1"/>
  <c r="H20" i="1"/>
  <c r="I20" i="1" s="1"/>
  <c r="G19" i="5"/>
  <c r="E19" i="5"/>
  <c r="H19" i="5" s="1"/>
  <c r="E15" i="5"/>
  <c r="H15" i="5" s="1"/>
  <c r="E18" i="5"/>
  <c r="E13" i="5" s="1"/>
  <c r="E14" i="5"/>
  <c r="I16" i="3"/>
  <c r="I15" i="3" s="1"/>
  <c r="I17" i="3"/>
  <c r="I18" i="3"/>
  <c r="I14" i="3"/>
  <c r="L14" i="3" s="1"/>
  <c r="J13" i="3"/>
  <c r="H13" i="3"/>
  <c r="G13" i="3"/>
  <c r="G15" i="3"/>
  <c r="K14" i="3"/>
  <c r="K26" i="3"/>
  <c r="I26" i="3"/>
  <c r="L26" i="3" s="1"/>
  <c r="H22" i="3"/>
  <c r="G22" i="3"/>
  <c r="K41" i="3"/>
  <c r="G40" i="3"/>
  <c r="K42" i="3"/>
  <c r="I42" i="3"/>
  <c r="L42" i="3" s="1"/>
  <c r="H41" i="3"/>
  <c r="H40" i="3" s="1"/>
  <c r="H39" i="3" s="1"/>
  <c r="I18" i="1"/>
  <c r="I17" i="1"/>
  <c r="F11" i="5"/>
  <c r="G98" i="3"/>
  <c r="G97" i="3" s="1"/>
  <c r="J95" i="3"/>
  <c r="J98" i="3"/>
  <c r="J97" i="3" s="1"/>
  <c r="G69" i="7"/>
  <c r="G68" i="7" s="1"/>
  <c r="G129" i="7"/>
  <c r="E129" i="7"/>
  <c r="E128" i="7" s="1"/>
  <c r="F130" i="7"/>
  <c r="H130" i="7" s="1"/>
  <c r="G104" i="7"/>
  <c r="E104" i="7"/>
  <c r="F116" i="7"/>
  <c r="H116" i="7" s="1"/>
  <c r="F115" i="7"/>
  <c r="H115" i="7" s="1"/>
  <c r="K100" i="3"/>
  <c r="L100" i="3"/>
  <c r="H98" i="3"/>
  <c r="H97" i="3" s="1"/>
  <c r="I98" i="3"/>
  <c r="K99" i="3"/>
  <c r="L99" i="3"/>
  <c r="J57" i="3"/>
  <c r="F114" i="7"/>
  <c r="H114" i="7" s="1"/>
  <c r="F113" i="7"/>
  <c r="H113" i="7" s="1"/>
  <c r="F112" i="7"/>
  <c r="H112" i="7" s="1"/>
  <c r="F111" i="7"/>
  <c r="F110" i="7"/>
  <c r="F109" i="7"/>
  <c r="F108" i="7"/>
  <c r="H108" i="7" s="1"/>
  <c r="F107" i="7"/>
  <c r="H107" i="7" s="1"/>
  <c r="F106" i="7"/>
  <c r="H106" i="7" s="1"/>
  <c r="F89" i="7"/>
  <c r="H89" i="7" s="1"/>
  <c r="F88" i="7"/>
  <c r="F87" i="7"/>
  <c r="F72" i="7"/>
  <c r="F71" i="7"/>
  <c r="F70" i="7"/>
  <c r="F65" i="7"/>
  <c r="F58" i="7"/>
  <c r="F56" i="7"/>
  <c r="F55" i="7"/>
  <c r="F54" i="7"/>
  <c r="F53" i="7"/>
  <c r="F52" i="7"/>
  <c r="F51" i="7"/>
  <c r="F50" i="7"/>
  <c r="F48" i="7"/>
  <c r="F47" i="7"/>
  <c r="F46" i="7"/>
  <c r="F45" i="7"/>
  <c r="F44" i="7"/>
  <c r="F43" i="7"/>
  <c r="F42" i="7"/>
  <c r="F41" i="7"/>
  <c r="F40" i="7"/>
  <c r="F39" i="7"/>
  <c r="F38" i="7"/>
  <c r="F37" i="7"/>
  <c r="F34" i="7"/>
  <c r="F33" i="7"/>
  <c r="F32" i="7"/>
  <c r="E31" i="5"/>
  <c r="E29" i="5"/>
  <c r="E27" i="5"/>
  <c r="I109" i="3"/>
  <c r="I73" i="3"/>
  <c r="I68" i="3"/>
  <c r="I65" i="3"/>
  <c r="I96" i="3"/>
  <c r="I95" i="3" s="1"/>
  <c r="I76" i="3"/>
  <c r="I74" i="3"/>
  <c r="I58" i="3"/>
  <c r="I91" i="3"/>
  <c r="I88" i="3"/>
  <c r="I87" i="3"/>
  <c r="I86" i="3"/>
  <c r="I85" i="3"/>
  <c r="I84" i="3"/>
  <c r="I80" i="3"/>
  <c r="I79" i="3"/>
  <c r="I78" i="3"/>
  <c r="I75" i="3"/>
  <c r="I72" i="3"/>
  <c r="I70" i="3"/>
  <c r="I69" i="3"/>
  <c r="I67" i="3"/>
  <c r="I63" i="3"/>
  <c r="I62" i="3"/>
  <c r="I61" i="3"/>
  <c r="I56" i="3"/>
  <c r="I54" i="3"/>
  <c r="I21" i="1"/>
  <c r="E16" i="5"/>
  <c r="E12" i="5"/>
  <c r="E10" i="5"/>
  <c r="E8" i="5"/>
  <c r="D7" i="5"/>
  <c r="I25" i="3"/>
  <c r="I24" i="3"/>
  <c r="I23" i="3"/>
  <c r="I20" i="3"/>
  <c r="H15" i="3"/>
  <c r="J15" i="3"/>
  <c r="I45" i="3"/>
  <c r="I32" i="3"/>
  <c r="I36" i="3"/>
  <c r="I35" i="3"/>
  <c r="I29" i="3"/>
  <c r="I41" i="3"/>
  <c r="G37" i="3"/>
  <c r="G86" i="7"/>
  <c r="E86" i="7"/>
  <c r="G63" i="7"/>
  <c r="G62" i="7" s="1"/>
  <c r="G61" i="7" s="1"/>
  <c r="G31" i="7"/>
  <c r="H95" i="3"/>
  <c r="I46" i="3"/>
  <c r="H46" i="3"/>
  <c r="G46" i="3"/>
  <c r="G44" i="3"/>
  <c r="K47" i="3"/>
  <c r="L47" i="3"/>
  <c r="J37" i="3"/>
  <c r="L38" i="3"/>
  <c r="H37" i="3"/>
  <c r="I37" i="3"/>
  <c r="K37" i="3"/>
  <c r="K25" i="3"/>
  <c r="E69" i="7"/>
  <c r="E68" i="7" s="1"/>
  <c r="E67" i="7" s="1"/>
  <c r="H83" i="3"/>
  <c r="L28" i="1"/>
  <c r="L29" i="1"/>
  <c r="L30" i="1"/>
  <c r="K28" i="1"/>
  <c r="K29" i="1"/>
  <c r="K30" i="1"/>
  <c r="G33" i="1"/>
  <c r="H20" i="7" l="1"/>
  <c r="H65" i="7"/>
  <c r="F64" i="7"/>
  <c r="F63" i="7" s="1"/>
  <c r="H121" i="7"/>
  <c r="H134" i="7"/>
  <c r="L95" i="3"/>
  <c r="J92" i="3"/>
  <c r="K95" i="3"/>
  <c r="H141" i="7"/>
  <c r="H140" i="7" s="1"/>
  <c r="H142" i="7"/>
  <c r="H133" i="7"/>
  <c r="H132" i="7" s="1"/>
  <c r="G128" i="7"/>
  <c r="G67" i="7"/>
  <c r="I97" i="3"/>
  <c r="L15" i="3"/>
  <c r="K13" i="3"/>
  <c r="I13" i="3"/>
  <c r="L13" i="3" s="1"/>
  <c r="H14" i="5"/>
  <c r="I22" i="3"/>
  <c r="I40" i="3"/>
  <c r="I39" i="3" s="1"/>
  <c r="F104" i="7"/>
  <c r="K98" i="3"/>
  <c r="F129" i="7"/>
  <c r="F128" i="7" s="1"/>
  <c r="F31" i="7"/>
  <c r="F35" i="7"/>
  <c r="F86" i="7"/>
  <c r="F85" i="7" s="1"/>
  <c r="L97" i="3"/>
  <c r="L98" i="3"/>
  <c r="K96" i="3"/>
  <c r="K92" i="3"/>
  <c r="K97" i="3"/>
  <c r="K46" i="3"/>
  <c r="L46" i="3"/>
  <c r="L37" i="3"/>
  <c r="G30" i="1"/>
  <c r="H33" i="1"/>
  <c r="I33" i="1"/>
  <c r="J33" i="1"/>
  <c r="H30" i="1"/>
  <c r="I30" i="1"/>
  <c r="J30" i="1"/>
  <c r="L17" i="1"/>
  <c r="E24" i="7"/>
  <c r="G101" i="7"/>
  <c r="G90" i="7" s="1"/>
  <c r="G85" i="7"/>
  <c r="F69" i="7"/>
  <c r="F68" i="7" s="1"/>
  <c r="H110" i="7"/>
  <c r="H111" i="7"/>
  <c r="E63" i="7"/>
  <c r="E62" i="7" s="1"/>
  <c r="E61" i="7" s="1"/>
  <c r="G35" i="7"/>
  <c r="F57" i="7"/>
  <c r="G57" i="7"/>
  <c r="E35" i="7"/>
  <c r="E30" i="7" s="1"/>
  <c r="E29" i="7" s="1"/>
  <c r="E28" i="7" s="1"/>
  <c r="F32" i="5"/>
  <c r="J71" i="3"/>
  <c r="H115" i="3"/>
  <c r="H114" i="3" s="1"/>
  <c r="I115" i="3"/>
  <c r="J115" i="3"/>
  <c r="J114" i="3" s="1"/>
  <c r="G115" i="3"/>
  <c r="H112" i="3"/>
  <c r="I112" i="3"/>
  <c r="J112" i="3"/>
  <c r="G112" i="3"/>
  <c r="H110" i="3"/>
  <c r="I110" i="3"/>
  <c r="J110" i="3"/>
  <c r="G110" i="3"/>
  <c r="H106" i="3"/>
  <c r="I106" i="3"/>
  <c r="J106" i="3"/>
  <c r="G106" i="3"/>
  <c r="H103" i="3"/>
  <c r="I103" i="3"/>
  <c r="J103" i="3"/>
  <c r="G103" i="3"/>
  <c r="I81" i="3"/>
  <c r="I83" i="3"/>
  <c r="J83" i="3"/>
  <c r="G83" i="3"/>
  <c r="J60" i="3"/>
  <c r="I60" i="3"/>
  <c r="H60" i="3"/>
  <c r="G60" i="3"/>
  <c r="G43" i="3"/>
  <c r="G39" i="3"/>
  <c r="G28" i="3"/>
  <c r="J22" i="3"/>
  <c r="G19" i="3"/>
  <c r="L21" i="3"/>
  <c r="L25" i="3"/>
  <c r="H22" i="1"/>
  <c r="L54" i="3"/>
  <c r="L56" i="3"/>
  <c r="L58" i="3"/>
  <c r="L61" i="3"/>
  <c r="L62" i="3"/>
  <c r="L63" i="3"/>
  <c r="L65" i="3"/>
  <c r="L66" i="3"/>
  <c r="L67" i="3"/>
  <c r="L68" i="3"/>
  <c r="L69" i="3"/>
  <c r="L70" i="3"/>
  <c r="L72" i="3"/>
  <c r="L73" i="3"/>
  <c r="L74" i="3"/>
  <c r="L75" i="3"/>
  <c r="L76" i="3"/>
  <c r="L77" i="3"/>
  <c r="L78" i="3"/>
  <c r="L79" i="3"/>
  <c r="L80" i="3"/>
  <c r="L82" i="3"/>
  <c r="L84" i="3"/>
  <c r="L85" i="3"/>
  <c r="L86" i="3"/>
  <c r="L87" i="3"/>
  <c r="L88" i="3"/>
  <c r="L91" i="3"/>
  <c r="L96" i="3"/>
  <c r="L104" i="3"/>
  <c r="L105" i="3"/>
  <c r="L107" i="3"/>
  <c r="L108" i="3"/>
  <c r="L109" i="3"/>
  <c r="L111" i="3"/>
  <c r="L113" i="3"/>
  <c r="L116" i="3"/>
  <c r="K54" i="3"/>
  <c r="K56" i="3"/>
  <c r="K58" i="3"/>
  <c r="K61" i="3"/>
  <c r="K62" i="3"/>
  <c r="K63" i="3"/>
  <c r="K65" i="3"/>
  <c r="K66" i="3"/>
  <c r="K67" i="3"/>
  <c r="K68" i="3"/>
  <c r="K69" i="3"/>
  <c r="K70" i="3"/>
  <c r="K72" i="3"/>
  <c r="K73" i="3"/>
  <c r="K74" i="3"/>
  <c r="K75" i="3"/>
  <c r="K76" i="3"/>
  <c r="K77" i="3"/>
  <c r="K78" i="3"/>
  <c r="K79" i="3"/>
  <c r="K80" i="3"/>
  <c r="K82" i="3"/>
  <c r="K84" i="3"/>
  <c r="K85" i="3"/>
  <c r="K86" i="3"/>
  <c r="K87" i="3"/>
  <c r="K88" i="3"/>
  <c r="K91" i="3"/>
  <c r="K104" i="3"/>
  <c r="K105" i="3"/>
  <c r="K107" i="3"/>
  <c r="K108" i="3"/>
  <c r="K109" i="3"/>
  <c r="K111" i="3"/>
  <c r="K113" i="3"/>
  <c r="K116" i="3"/>
  <c r="H44" i="3"/>
  <c r="I44" i="3"/>
  <c r="H34" i="3"/>
  <c r="I34" i="3"/>
  <c r="J34" i="3"/>
  <c r="H31" i="3"/>
  <c r="I31" i="3"/>
  <c r="I30" i="3" s="1"/>
  <c r="J31" i="3"/>
  <c r="H28" i="3"/>
  <c r="H27" i="3" s="1"/>
  <c r="I28" i="3"/>
  <c r="J28" i="3"/>
  <c r="H19" i="3"/>
  <c r="H12" i="3" s="1"/>
  <c r="I19" i="3"/>
  <c r="J19" i="3"/>
  <c r="L20" i="3"/>
  <c r="L23" i="3"/>
  <c r="L24" i="3"/>
  <c r="L29" i="3"/>
  <c r="L32" i="3"/>
  <c r="L35" i="3"/>
  <c r="L36" i="3"/>
  <c r="L41" i="3"/>
  <c r="L45" i="3"/>
  <c r="K20" i="3"/>
  <c r="K21" i="3"/>
  <c r="K23" i="3"/>
  <c r="K24" i="3"/>
  <c r="K29" i="3"/>
  <c r="K32" i="3"/>
  <c r="K35" i="3"/>
  <c r="K36" i="3"/>
  <c r="K45" i="3"/>
  <c r="G81" i="3"/>
  <c r="G24" i="7"/>
  <c r="F22" i="7"/>
  <c r="H32" i="7"/>
  <c r="H33" i="7"/>
  <c r="H34" i="7"/>
  <c r="H36" i="7"/>
  <c r="H37" i="7"/>
  <c r="H38" i="7"/>
  <c r="H39" i="7"/>
  <c r="H40" i="7"/>
  <c r="H41" i="7"/>
  <c r="H42" i="7"/>
  <c r="H43" i="7"/>
  <c r="H44" i="7"/>
  <c r="H45" i="7"/>
  <c r="H46" i="7"/>
  <c r="H47" i="7"/>
  <c r="H48" i="7"/>
  <c r="H49" i="7"/>
  <c r="H50" i="7"/>
  <c r="H51" i="7"/>
  <c r="H52" i="7"/>
  <c r="H53" i="7"/>
  <c r="H54" i="7"/>
  <c r="H55" i="7"/>
  <c r="H56" i="7"/>
  <c r="H58" i="7"/>
  <c r="H70" i="7"/>
  <c r="H71" i="7"/>
  <c r="H72" i="7"/>
  <c r="H87" i="7"/>
  <c r="H88" i="7"/>
  <c r="H109" i="7"/>
  <c r="G84" i="7" l="1"/>
  <c r="G15" i="7"/>
  <c r="F84" i="7"/>
  <c r="F15" i="7"/>
  <c r="F14" i="7" s="1"/>
  <c r="H129" i="7"/>
  <c r="G23" i="7"/>
  <c r="H128" i="7"/>
  <c r="H104" i="7"/>
  <c r="G30" i="7"/>
  <c r="G11" i="7" s="1"/>
  <c r="F30" i="7"/>
  <c r="F11" i="7" s="1"/>
  <c r="I102" i="3"/>
  <c r="D8" i="8"/>
  <c r="D7" i="8" s="1"/>
  <c r="D6" i="8" s="1"/>
  <c r="K39" i="3"/>
  <c r="L40" i="3"/>
  <c r="L92" i="3"/>
  <c r="K103" i="3"/>
  <c r="E11" i="7"/>
  <c r="E10" i="7" s="1"/>
  <c r="H102" i="3"/>
  <c r="H101" i="3" s="1"/>
  <c r="K115" i="3"/>
  <c r="K112" i="3"/>
  <c r="K110" i="3"/>
  <c r="E85" i="7"/>
  <c r="L115" i="3"/>
  <c r="L112" i="3"/>
  <c r="L110" i="3"/>
  <c r="K106" i="3"/>
  <c r="L106" i="3"/>
  <c r="J102" i="3"/>
  <c r="J101" i="3" s="1"/>
  <c r="G102" i="3"/>
  <c r="I114" i="3"/>
  <c r="L114" i="3" s="1"/>
  <c r="L103" i="3"/>
  <c r="G114" i="3"/>
  <c r="F67" i="7"/>
  <c r="H86" i="7"/>
  <c r="G14" i="7"/>
  <c r="G9" i="7" s="1"/>
  <c r="H85" i="7"/>
  <c r="H31" i="7"/>
  <c r="H69" i="7"/>
  <c r="H64" i="7"/>
  <c r="H57" i="7"/>
  <c r="H35" i="7"/>
  <c r="F62" i="7"/>
  <c r="F61" i="7" s="1"/>
  <c r="H61" i="7" s="1"/>
  <c r="H63" i="7"/>
  <c r="L44" i="3"/>
  <c r="H25" i="7"/>
  <c r="F24" i="7"/>
  <c r="L31" i="3"/>
  <c r="L28" i="3"/>
  <c r="L19" i="3"/>
  <c r="L18" i="3" s="1"/>
  <c r="L17" i="3" s="1"/>
  <c r="L34" i="3"/>
  <c r="G10" i="7" l="1"/>
  <c r="E84" i="7"/>
  <c r="E15" i="7"/>
  <c r="G22" i="7"/>
  <c r="H22" i="7" s="1"/>
  <c r="H23" i="7"/>
  <c r="G66" i="7"/>
  <c r="L39" i="3"/>
  <c r="G19" i="7"/>
  <c r="F29" i="7"/>
  <c r="F28" i="7" s="1"/>
  <c r="F27" i="7" s="1"/>
  <c r="F26" i="7" s="1"/>
  <c r="L16" i="3"/>
  <c r="E27" i="7"/>
  <c r="E26" i="7" s="1"/>
  <c r="G13" i="7"/>
  <c r="G12" i="7" s="1"/>
  <c r="G29" i="7"/>
  <c r="G28" i="7" s="1"/>
  <c r="G27" i="7" s="1"/>
  <c r="G26" i="7" s="1"/>
  <c r="G101" i="3"/>
  <c r="K101" i="3" s="1"/>
  <c r="K102" i="3"/>
  <c r="L102" i="3"/>
  <c r="I101" i="3"/>
  <c r="K114" i="3"/>
  <c r="E13" i="7"/>
  <c r="E12" i="7" s="1"/>
  <c r="H14" i="7"/>
  <c r="H15" i="7"/>
  <c r="H84" i="7"/>
  <c r="F13" i="7"/>
  <c r="F12" i="7" s="1"/>
  <c r="H68" i="7"/>
  <c r="H67" i="7" s="1"/>
  <c r="H30" i="7"/>
  <c r="F10" i="7"/>
  <c r="H62" i="7"/>
  <c r="H24" i="7"/>
  <c r="H90" i="3"/>
  <c r="H89" i="3" s="1"/>
  <c r="I90" i="3"/>
  <c r="I89" i="3" s="1"/>
  <c r="J90" i="3"/>
  <c r="J89" i="3" s="1"/>
  <c r="G90" i="3"/>
  <c r="G89" i="3" s="1"/>
  <c r="H81" i="3"/>
  <c r="J81" i="3"/>
  <c r="H71" i="3"/>
  <c r="I71" i="3"/>
  <c r="G71" i="3"/>
  <c r="H64" i="3"/>
  <c r="I64" i="3"/>
  <c r="J64" i="3"/>
  <c r="G64" i="3"/>
  <c r="H57" i="3"/>
  <c r="I57" i="3"/>
  <c r="G57" i="3"/>
  <c r="H55" i="3"/>
  <c r="I55" i="3"/>
  <c r="J55" i="3"/>
  <c r="G55" i="3"/>
  <c r="H53" i="3"/>
  <c r="I53" i="3"/>
  <c r="J53" i="3"/>
  <c r="G53" i="3"/>
  <c r="K32" i="1"/>
  <c r="L32" i="1"/>
  <c r="L31" i="1"/>
  <c r="K31" i="1"/>
  <c r="H37" i="5"/>
  <c r="G40" i="5"/>
  <c r="F41" i="5"/>
  <c r="E41" i="5"/>
  <c r="D41" i="5"/>
  <c r="C41" i="5"/>
  <c r="E39" i="5"/>
  <c r="D39" i="5"/>
  <c r="F39" i="5"/>
  <c r="C39" i="5"/>
  <c r="G37" i="5"/>
  <c r="F30" i="5"/>
  <c r="F25" i="5" s="1"/>
  <c r="E30" i="5"/>
  <c r="D30" i="5"/>
  <c r="C30" i="5"/>
  <c r="C28" i="5"/>
  <c r="F28" i="5"/>
  <c r="E28" i="5"/>
  <c r="D28" i="5"/>
  <c r="F26" i="5"/>
  <c r="E26" i="5"/>
  <c r="C26" i="5"/>
  <c r="D22" i="5"/>
  <c r="E22" i="5"/>
  <c r="F22" i="5"/>
  <c r="C22" i="5"/>
  <c r="D20" i="5"/>
  <c r="E20" i="5"/>
  <c r="F20" i="5"/>
  <c r="C20" i="5"/>
  <c r="D11" i="5"/>
  <c r="E11" i="5"/>
  <c r="C11" i="5"/>
  <c r="D9" i="5"/>
  <c r="E9" i="5"/>
  <c r="F9" i="5"/>
  <c r="C9" i="5"/>
  <c r="E7" i="5"/>
  <c r="F7" i="5"/>
  <c r="H8" i="5"/>
  <c r="H10" i="5"/>
  <c r="H12" i="5"/>
  <c r="H16" i="5"/>
  <c r="H18" i="5"/>
  <c r="H21" i="5"/>
  <c r="H23" i="5"/>
  <c r="G8" i="5"/>
  <c r="G10" i="5"/>
  <c r="G12" i="5"/>
  <c r="G18" i="5"/>
  <c r="G21" i="5"/>
  <c r="G23" i="5"/>
  <c r="H43" i="3"/>
  <c r="I43" i="3"/>
  <c r="H30" i="3"/>
  <c r="I27" i="3"/>
  <c r="L27" i="3" s="1"/>
  <c r="K19" i="3"/>
  <c r="L18" i="1"/>
  <c r="L20" i="1"/>
  <c r="L21" i="1"/>
  <c r="K18" i="1"/>
  <c r="K20" i="1"/>
  <c r="K21" i="1"/>
  <c r="K17" i="1"/>
  <c r="I22" i="1"/>
  <c r="E8" i="8" s="1"/>
  <c r="E7" i="8" s="1"/>
  <c r="J22" i="1"/>
  <c r="F8" i="8" s="1"/>
  <c r="F7" i="8" s="1"/>
  <c r="G22" i="1"/>
  <c r="H19" i="1"/>
  <c r="H23" i="1" s="1"/>
  <c r="H34" i="1" s="1"/>
  <c r="I19" i="1"/>
  <c r="J19" i="1"/>
  <c r="G19" i="1"/>
  <c r="G8" i="7" l="1"/>
  <c r="G16" i="7"/>
  <c r="C6" i="5"/>
  <c r="G39" i="5"/>
  <c r="H39" i="5"/>
  <c r="D25" i="5"/>
  <c r="L101" i="3"/>
  <c r="F6" i="5"/>
  <c r="H10" i="3"/>
  <c r="K18" i="3"/>
  <c r="K17" i="3" s="1"/>
  <c r="J23" i="1"/>
  <c r="J34" i="1" s="1"/>
  <c r="I10" i="3"/>
  <c r="H12" i="7"/>
  <c r="H29" i="7"/>
  <c r="H20" i="5"/>
  <c r="G20" i="5"/>
  <c r="J52" i="3"/>
  <c r="H28" i="7"/>
  <c r="H59" i="3"/>
  <c r="H52" i="3"/>
  <c r="I23" i="1"/>
  <c r="I34" i="1" s="1"/>
  <c r="E14" i="7"/>
  <c r="J59" i="3"/>
  <c r="C8" i="8"/>
  <c r="G8" i="8" s="1"/>
  <c r="G23" i="1"/>
  <c r="G34" i="1" s="1"/>
  <c r="I59" i="3"/>
  <c r="H10" i="7"/>
  <c r="H13" i="7"/>
  <c r="H11" i="7"/>
  <c r="G11" i="5"/>
  <c r="G9" i="5"/>
  <c r="H8" i="8"/>
  <c r="G22" i="5"/>
  <c r="L19" i="1"/>
  <c r="H9" i="5"/>
  <c r="H22" i="5"/>
  <c r="H28" i="5"/>
  <c r="H29" i="5"/>
  <c r="K34" i="3"/>
  <c r="K43" i="3"/>
  <c r="K44" i="3"/>
  <c r="K55" i="3"/>
  <c r="L55" i="3"/>
  <c r="L57" i="3"/>
  <c r="K57" i="3"/>
  <c r="L64" i="3"/>
  <c r="K64" i="3"/>
  <c r="H30" i="5"/>
  <c r="L53" i="3"/>
  <c r="K53" i="3"/>
  <c r="L60" i="3"/>
  <c r="K60" i="3"/>
  <c r="L71" i="3"/>
  <c r="K71" i="3"/>
  <c r="K33" i="1"/>
  <c r="K30" i="3"/>
  <c r="K31" i="3"/>
  <c r="K27" i="3"/>
  <c r="K28" i="3"/>
  <c r="K40" i="3"/>
  <c r="K81" i="3"/>
  <c r="L81" i="3"/>
  <c r="L83" i="3"/>
  <c r="K83" i="3"/>
  <c r="L90" i="3"/>
  <c r="K90" i="3"/>
  <c r="L43" i="3"/>
  <c r="L30" i="3"/>
  <c r="L22" i="3"/>
  <c r="K22" i="3"/>
  <c r="L33" i="1"/>
  <c r="G29" i="5"/>
  <c r="G32" i="5"/>
  <c r="F6" i="8"/>
  <c r="H7" i="8"/>
  <c r="E6" i="8"/>
  <c r="G59" i="3"/>
  <c r="I52" i="3"/>
  <c r="G52" i="3"/>
  <c r="G41" i="5"/>
  <c r="G13" i="5"/>
  <c r="H26" i="5"/>
  <c r="H11" i="5"/>
  <c r="H13" i="5"/>
  <c r="G28" i="5"/>
  <c r="H32" i="5"/>
  <c r="G30" i="5"/>
  <c r="H31" i="5"/>
  <c r="H41" i="5"/>
  <c r="C25" i="5"/>
  <c r="G26" i="5"/>
  <c r="E25" i="5"/>
  <c r="H7" i="5"/>
  <c r="G42" i="5"/>
  <c r="G31" i="5"/>
  <c r="G27" i="5"/>
  <c r="H40" i="5"/>
  <c r="E6" i="5"/>
  <c r="D6" i="5"/>
  <c r="H42" i="5"/>
  <c r="H27" i="5"/>
  <c r="G7" i="5"/>
  <c r="K19" i="1"/>
  <c r="K22" i="1"/>
  <c r="L22" i="1"/>
  <c r="K8" i="7" l="1"/>
  <c r="G51" i="3"/>
  <c r="J51" i="3"/>
  <c r="J50" i="3" s="1"/>
  <c r="P50" i="3" s="1"/>
  <c r="K16" i="3"/>
  <c r="K15" i="3" s="1"/>
  <c r="G10" i="3"/>
  <c r="L59" i="3"/>
  <c r="K59" i="3"/>
  <c r="H26" i="7"/>
  <c r="H27" i="7"/>
  <c r="C7" i="8"/>
  <c r="H6" i="8"/>
  <c r="K12" i="3"/>
  <c r="G6" i="5"/>
  <c r="H6" i="5"/>
  <c r="K89" i="3"/>
  <c r="L89" i="3"/>
  <c r="L52" i="3"/>
  <c r="K52" i="3"/>
  <c r="L33" i="3"/>
  <c r="K33" i="3"/>
  <c r="L12" i="3"/>
  <c r="G50" i="3"/>
  <c r="H25" i="5"/>
  <c r="G25" i="5"/>
  <c r="K23" i="1"/>
  <c r="L23" i="1"/>
  <c r="C6" i="8" l="1"/>
  <c r="G6" i="8" s="1"/>
  <c r="G7" i="8"/>
  <c r="L51" i="3"/>
  <c r="K11" i="3"/>
  <c r="K50" i="3"/>
  <c r="K51" i="3"/>
  <c r="L11" i="3"/>
  <c r="L34" i="1"/>
  <c r="K34" i="1"/>
  <c r="I50" i="3"/>
  <c r="L50" i="3" l="1"/>
  <c r="K10" i="3"/>
  <c r="L10" i="3"/>
  <c r="F119" i="7"/>
  <c r="H119" i="7" l="1"/>
  <c r="F117" i="7"/>
  <c r="F101" i="7" s="1"/>
  <c r="E101" i="7"/>
  <c r="F19" i="7" l="1"/>
  <c r="F90" i="7"/>
  <c r="E19" i="7"/>
  <c r="E16" i="7" s="1"/>
  <c r="E9" i="7" s="1"/>
  <c r="E8" i="7" s="1"/>
  <c r="I8" i="7" s="1"/>
  <c r="E90" i="7"/>
  <c r="H101" i="7"/>
  <c r="H117" i="7"/>
  <c r="E66" i="7" l="1"/>
  <c r="F16" i="7"/>
  <c r="H16" i="7" s="1"/>
  <c r="H19" i="7"/>
  <c r="H90" i="7"/>
  <c r="H66" i="7" s="1"/>
  <c r="F66" i="7"/>
  <c r="F9" i="7" l="1"/>
  <c r="H9" i="7" s="1"/>
  <c r="H8" i="7" s="1"/>
  <c r="F8" i="7" l="1"/>
  <c r="J8" i="7" s="1"/>
</calcChain>
</file>

<file path=xl/sharedStrings.xml><?xml version="1.0" encoding="utf-8"?>
<sst xmlns="http://schemas.openxmlformats.org/spreadsheetml/2006/main" count="474" uniqueCount="319">
  <si>
    <t>PRIHODI UKUPNO</t>
  </si>
  <si>
    <t>RASHODI UKUPNO</t>
  </si>
  <si>
    <t>RAZLIKA - VIŠAK / MANJAK</t>
  </si>
  <si>
    <t>Rashodi poslovanja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</si>
  <si>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</si>
  <si>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</si>
  <si>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</si>
  <si>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</si>
  <si>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</si>
  <si>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</si>
  <si>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</si>
  <si>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</si>
  <si>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Pomoći iz inozemstva i od subjekata unutar općeg proračuna</t>
  </si>
  <si>
    <t>PRIJENOS SREDSTAVA IZ PRETHODNE GODINE</t>
  </si>
  <si>
    <t>1 Opći prihodi i primici</t>
  </si>
  <si>
    <t>11 Opći prihodi i primici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</si>
  <si>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</si>
  <si>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</si>
  <si>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</si>
  <si>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</si>
  <si>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</si>
  <si>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</si>
  <si>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</si>
  <si>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</si>
  <si>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</si>
  <si>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</si>
  <si>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proizvoda i robe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</si>
  <si>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</si>
  <si>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</si>
  <si>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</si>
  <si>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</si>
  <si>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</si>
  <si>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</si>
  <si>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</si>
  <si>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</si>
  <si>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</si>
  <si>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</si>
  <si>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</si>
  <si>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5=4/3*100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</si>
  <si>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</si>
  <si>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</si>
  <si>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</si>
  <si>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</si>
  <si>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</si>
  <si>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</si>
  <si>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</si>
  <si>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</si>
  <si>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</si>
  <si>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</si>
  <si>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 xml:space="preserve">* Opći i posebni dio polugodišnjeg izvještaja o izvršenju proračuna sadrži samo izvorni plan ako od donošenja proračuna nije bilo izmjena i dopuna niti izvršenih preraspodjela odnosno izvorni plan i tekući plan ako je od donošenja proračuna bilo naknadno izvršenih preraspodjela.  
Opći i posebni dio polugodišnjeg izvještaja o izvršenju proračuna sadrži rebalans ako je od donošenja proračuna bilo izmjena i dopuna, odnosno rebalans i tekući plan ako je od izmjena i dopuna proračuna bilo naknadno izvršenih preraspodjela.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</si>
  <si>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</si>
  <si>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</si>
  <si>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</si>
  <si>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</si>
  <si>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</si>
  <si>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</si>
  <si>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 xml:space="preserve">Prihodi poslovanja </t>
  </si>
  <si>
    <t>632</t>
  </si>
  <si>
    <t>Pomoći od međunarodnih organizacija te institucija  i tijela EU</t>
  </si>
  <si>
    <t>6324</t>
  </si>
  <si>
    <t>Kapitalne pomoći od institucija i tijela EU</t>
  </si>
  <si>
    <t>634</t>
  </si>
  <si>
    <t>Pomoći od izvanproračunskih korisnika</t>
  </si>
  <si>
    <t>6341</t>
  </si>
  <si>
    <t xml:space="preserve">Tekuće pomoći od izvanproračunskih korisnika </t>
  </si>
  <si>
    <t>6342</t>
  </si>
  <si>
    <t>Kapitalne pomoći od izvanproračunskih korisnika</t>
  </si>
  <si>
    <t>639</t>
  </si>
  <si>
    <t>Prijenosi između proračunskih korisnika istog proračuna</t>
  </si>
  <si>
    <t>6391</t>
  </si>
  <si>
    <t>Tekući prijenosi između proračunskih korisnika istog proračuna</t>
  </si>
  <si>
    <t>6392</t>
  </si>
  <si>
    <t>Kapitalni prijenosti između proračunskih korisnika istog proračuna</t>
  </si>
  <si>
    <t>64</t>
  </si>
  <si>
    <t>Prihodi od imovine</t>
  </si>
  <si>
    <t>641</t>
  </si>
  <si>
    <t>Prihodi od financijske imovine</t>
  </si>
  <si>
    <t>6413</t>
  </si>
  <si>
    <t>Kamate na oročena sredstva i depozite po viđenju</t>
  </si>
  <si>
    <t>Prihodi od upravnih i administrativnih pristojbi, pristojbi po posebnim propisima i nakanda</t>
  </si>
  <si>
    <t>Prihodi po posebnim propisima</t>
  </si>
  <si>
    <t xml:space="preserve">Ostali nespomenuti prihodi </t>
  </si>
  <si>
    <t>Prihodi od prodaje proizvoda i robe te pruženih usluga i prihodi od donacija</t>
  </si>
  <si>
    <t>661</t>
  </si>
  <si>
    <t>6614</t>
  </si>
  <si>
    <t>6615</t>
  </si>
  <si>
    <t>Prihodi od pruženih usluga</t>
  </si>
  <si>
    <t>671</t>
  </si>
  <si>
    <t>Prihodi iz nadležnog proračuna za financiranje redovne djelatnosti proračunskih korisnika</t>
  </si>
  <si>
    <t>6711</t>
  </si>
  <si>
    <t>Prihodi iz nadležnog proračuna za financiranje rashoda poslovanja</t>
  </si>
  <si>
    <t>68</t>
  </si>
  <si>
    <t>Kazne, upravne mjere i ostali prihodi</t>
  </si>
  <si>
    <t>683</t>
  </si>
  <si>
    <t>Ostali prihodi</t>
  </si>
  <si>
    <t>6831</t>
  </si>
  <si>
    <t>Uredska oprema i namještaj</t>
  </si>
  <si>
    <t>Uređaji, strojevi i oprema za ostale namjene</t>
  </si>
  <si>
    <t>Prijevozna sredstva u cestovnom prometu</t>
  </si>
  <si>
    <t>PROGRAM  3401 ZAŠTITA PRIRODE</t>
  </si>
  <si>
    <t>Izvor: 1 Opći proračun</t>
  </si>
  <si>
    <t>Izvor: 11 Opći prihodi i primici</t>
  </si>
  <si>
    <t>31 Rashodi za zaposlene</t>
  </si>
  <si>
    <t>3111 Plaće za redovan rad</t>
  </si>
  <si>
    <t>3121 Ostali rashodi za zaposlene</t>
  </si>
  <si>
    <t>3132 Doprinosi za obvezno zdravstveno osiguranje</t>
  </si>
  <si>
    <t>32 Materijalni rashodi</t>
  </si>
  <si>
    <t>3211 Službena putovanja</t>
  </si>
  <si>
    <t>3212 Naknade za prijevoz, za rad na terenu i odvojeni život</t>
  </si>
  <si>
    <t>3213 Stručno usavršavanje zaposlenika</t>
  </si>
  <si>
    <t>3221 Uredski materijal i ostali materijalni rashodi</t>
  </si>
  <si>
    <t>3223 Energija</t>
  </si>
  <si>
    <t>3224 Materijal i dijelovi za tekuće i investicijsko održavanje</t>
  </si>
  <si>
    <t>3225 Sitni inventar i auto gume</t>
  </si>
  <si>
    <t>3227 Službena, radna i zaštitna odjeća i obuća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</si>
  <si>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</si>
  <si>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</si>
  <si>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</si>
  <si>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</si>
  <si>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</si>
  <si>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</si>
  <si>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</si>
  <si>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</si>
  <si>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</si>
  <si>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3291 Naknade za rad predstavničkih i izvršnih tijela, povjerenstava i slično</t>
  </si>
  <si>
    <t>3292 Premije osiguranja</t>
  </si>
  <si>
    <t>3294 Članarine</t>
  </si>
  <si>
    <t>34 Financijski rashodi</t>
  </si>
  <si>
    <t>3431 Bankarske usluge i usluge platnog prometa</t>
  </si>
  <si>
    <t>A779047 ADMINISTRACIJA I UPRAVLJANJE (IZ EVIDENCIJSKIH PRIHODA)</t>
  </si>
  <si>
    <t>Izvor: 3 Vlastiti prihodi</t>
  </si>
  <si>
    <t>Izvor: 31 Vlastiti prihodi</t>
  </si>
  <si>
    <t>42 Rashodi za nabavu proizvedene dugotrajne imovine</t>
  </si>
  <si>
    <t>4227 Uređaji, strojevi i oprema za ostale namjene</t>
  </si>
  <si>
    <t>Izvor: 4 Prihodi posebne namjene</t>
  </si>
  <si>
    <t>Izvor: 43 Ostali prihodi za posebne namjene</t>
  </si>
  <si>
    <t>3293 Reprezentacija</t>
  </si>
  <si>
    <t>3299 Ostali nespomenuti rashodi poslovanja</t>
  </si>
  <si>
    <t>Izvor: 5 Pomoći</t>
  </si>
  <si>
    <t>Izvor: 52 Ostale pomoći</t>
  </si>
  <si>
    <t>4 Prihodi posebne namjene</t>
  </si>
  <si>
    <t xml:space="preserve">  43 Ostali prihodi za posebne namjene</t>
  </si>
  <si>
    <t>5 Pomoći</t>
  </si>
  <si>
    <t xml:space="preserve">  52 Ostale pomoći</t>
  </si>
  <si>
    <t xml:space="preserve">6 Donacije </t>
  </si>
  <si>
    <t xml:space="preserve">  61 Donacije</t>
  </si>
  <si>
    <t>7 Prihodi od prodaje ili zamjene nefinancijske imovine i naknade s naslova osiguranja</t>
  </si>
  <si>
    <t xml:space="preserve">  71 Prihodi od prodaje ili zamjene nefinancijske imovine i naknade s naslova osiguranja</t>
  </si>
  <si>
    <t>312</t>
  </si>
  <si>
    <t>Ostali rashodi za zaposlene</t>
  </si>
  <si>
    <t>3121</t>
  </si>
  <si>
    <t>Doprinosi na plaće</t>
  </si>
  <si>
    <t>Doprinosi za obvezno zdravstveno osiguranje</t>
  </si>
  <si>
    <t>3211</t>
  </si>
  <si>
    <t>3212</t>
  </si>
  <si>
    <t>Naknade za prijevoz, za rad na terenu i odvojeni život</t>
  </si>
  <si>
    <t>3213</t>
  </si>
  <si>
    <t>Stručno usavršavanje zaposlenika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</si>
  <si>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</si>
  <si>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</si>
  <si>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</si>
  <si>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</si>
  <si>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</si>
  <si>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</si>
  <si>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</si>
  <si>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</si>
  <si>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</si>
  <si>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</si>
  <si>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 gume</t>
  </si>
  <si>
    <t>3227</t>
  </si>
  <si>
    <t>Službena, radna i zaštitna odjeća i obuća</t>
  </si>
  <si>
    <t>Rashodi za usluge</t>
  </si>
  <si>
    <t>3231</t>
  </si>
  <si>
    <t>Usluge telefona, pošte i prijevoza</t>
  </si>
  <si>
    <t>3232</t>
  </si>
  <si>
    <t>Usluge tekućeg i investicijskog održavanja</t>
  </si>
  <si>
    <t>Usluge promidžbe i informiranja</t>
  </si>
  <si>
    <t>3234</t>
  </si>
  <si>
    <t>Komunalne usluge</t>
  </si>
  <si>
    <t>Zakupnine i najamnine</t>
  </si>
  <si>
    <t>Zdravstvene i veterinarske usluge</t>
  </si>
  <si>
    <t>Intelektualne i osobne usluge</t>
  </si>
  <si>
    <t>3238</t>
  </si>
  <si>
    <t>Računalne usluge</t>
  </si>
  <si>
    <t>3239</t>
  </si>
  <si>
    <t>Ostale usluge</t>
  </si>
  <si>
    <t>Ostali nespomenuti rashodi poslovanja</t>
  </si>
  <si>
    <t>3291</t>
  </si>
  <si>
    <t>Naknade za rad predstavničkih i izvršnih tijela, povjerenstava i slično</t>
  </si>
  <si>
    <t>Premije osiguranja</t>
  </si>
  <si>
    <t>3293</t>
  </si>
  <si>
    <t>Reprezentacija</t>
  </si>
  <si>
    <t>Članarine</t>
  </si>
  <si>
    <t>3299</t>
  </si>
  <si>
    <t>Financijski rashodi</t>
  </si>
  <si>
    <t>Ostali financijski rashodi</t>
  </si>
  <si>
    <t>3431</t>
  </si>
  <si>
    <t>Bankarske usluge i usluge platnog prometa</t>
  </si>
  <si>
    <t>36</t>
  </si>
  <si>
    <t>Pomoći dane u inozemstvo i unutar općeg proračuna</t>
  </si>
  <si>
    <t>Prijenosi između proračunskog korisnika istog proračuna</t>
  </si>
  <si>
    <t xml:space="preserve">Naknade troškova osobama izvan radnog odnosa </t>
  </si>
  <si>
    <t>Rashodi za nabavu proizvedene dug. imovine</t>
  </si>
  <si>
    <t>421</t>
  </si>
  <si>
    <t>Građevinski objekti</t>
  </si>
  <si>
    <t>4212</t>
  </si>
  <si>
    <t>Poslovni objekti</t>
  </si>
  <si>
    <t>4214</t>
  </si>
  <si>
    <t>Ostali građevinski objekti</t>
  </si>
  <si>
    <t>Postrojenja i oprema</t>
  </si>
  <si>
    <t>4221</t>
  </si>
  <si>
    <t>4223</t>
  </si>
  <si>
    <t>Oprema za održavanje i zaštitu</t>
  </si>
  <si>
    <t>4227</t>
  </si>
  <si>
    <t>423</t>
  </si>
  <si>
    <t>Prijevozna sredstva</t>
  </si>
  <si>
    <t>4231</t>
  </si>
  <si>
    <t>424</t>
  </si>
  <si>
    <t>Knjige, umjetnička djela i ostale izložbene vrijednosti</t>
  </si>
  <si>
    <t>4244</t>
  </si>
  <si>
    <t>Ostale nespomenute izložbene vrijednosti</t>
  </si>
  <si>
    <t>45</t>
  </si>
  <si>
    <t>Rashodi za dodatna ulaganja na nefinancijskoj imovini</t>
  </si>
  <si>
    <t>451</t>
  </si>
  <si>
    <t xml:space="preserve">Dodatna ulaganja na građevinskim objektima </t>
  </si>
  <si>
    <t>4511</t>
  </si>
  <si>
    <t>054 Zaštita bioraznolikosti i krajolika</t>
  </si>
  <si>
    <t>05 Zaštita okoliša</t>
  </si>
  <si>
    <t>Izvor 1</t>
  </si>
  <si>
    <t>Opći proračun</t>
  </si>
  <si>
    <t>Izvor 11</t>
  </si>
  <si>
    <t>Vlastiti prihodi</t>
  </si>
  <si>
    <t>Izvor 3</t>
  </si>
  <si>
    <t>Izvor 31</t>
  </si>
  <si>
    <t>Izvor 4</t>
  </si>
  <si>
    <t>Izvor 5</t>
  </si>
  <si>
    <t>Izvor 52</t>
  </si>
  <si>
    <t>Izvor 6</t>
  </si>
  <si>
    <t>Izvor 61</t>
  </si>
  <si>
    <t>Izvor 7</t>
  </si>
  <si>
    <t>Izvor 71</t>
  </si>
  <si>
    <t>Pomoći</t>
  </si>
  <si>
    <t>Donacije</t>
  </si>
  <si>
    <t>Prihodi od prodaje ili zamjene nefinancijske imovine</t>
  </si>
  <si>
    <t>34 ZAŠTITA I OČUVANJE PRIRODE I OKOLIŠA</t>
  </si>
  <si>
    <t xml:space="preserve">  Opći prihodi i primici</t>
  </si>
  <si>
    <t xml:space="preserve">  Ostali prihodi za posebne namjene</t>
  </si>
  <si>
    <t xml:space="preserve">  Ostale pomoći</t>
  </si>
  <si>
    <t xml:space="preserve">  Donacie</t>
  </si>
  <si>
    <t>NACIONALNI PARKOVI I PARKOVI PRIRODE</t>
  </si>
  <si>
    <t>+</t>
  </si>
  <si>
    <t>-</t>
  </si>
  <si>
    <t>Tekuće pomoći od institucija i tijela EU</t>
  </si>
  <si>
    <t>6393</t>
  </si>
  <si>
    <t>Tekući prijenosi između proračunskih korisnika istog proračuna temeljem prijenosa EU redstava</t>
  </si>
  <si>
    <t>Prihodi iz nadležnog proračuna i od HZZO-a temeljem ugovornih obveza</t>
  </si>
  <si>
    <t>JAVNA USTANOVA PARK PRIRODE ŽUMBERAK -SAMOBORSKO GORJE</t>
  </si>
  <si>
    <t>Izvor 43</t>
  </si>
  <si>
    <t>EUR</t>
  </si>
  <si>
    <t>Donacije od pravnih i fizičkih osoba izvan općeg proračun</t>
  </si>
  <si>
    <t>Tekuće donacije</t>
  </si>
  <si>
    <t>Prihode od prodaje prijevoznih sredstava</t>
  </si>
  <si>
    <t>3691 Tekući prijenosi između proračunskih korisnika</t>
  </si>
  <si>
    <t>Napomena: do 16.5.2024. godine Javna Ustanova "Park prirode Žumberak-Samoborsko gorje" izvršavala je svoj plan unutar šifre glave 07715, odnosno unutar šifre razdjela 077.</t>
  </si>
  <si>
    <t xml:space="preserve">OSTVARENJE/IZVRŠENJE 
1.-6.2025. </t>
  </si>
  <si>
    <t>Napomena : Iznosi u stupcima "OSTVARENJE/IZVRŠENJE 1.-6.2024." i "OSTVARENJE/IZVRŠENJE 1.-6. 2025." iskazuju se na dvije decimale.</t>
  </si>
  <si>
    <t xml:space="preserve">** AKO Opći i Posebni dio polugodišnjeg izvještaja ne sadrži "TEKUĆI PLAN 2024.", "INDEKS"("OSTVARENJE/IZVRŠENJE 1.-6.2025."/"TEKUĆI PLAN 2025.") iskazuje se kao "OSTVARENJE/IZVRŠENJE 1.-6.2025."/"IZVORNI PLAN 2025." ODNOSNO "REBALANS 2025." </t>
  </si>
  <si>
    <t xml:space="preserve">OSTVARENJE/ IZVRŠENJE 
1.-6.2025. </t>
  </si>
  <si>
    <t xml:space="preserve"> IZVRŠENJE 
1.-6.2025. </t>
  </si>
  <si>
    <t>Tekuće pomoći od međunarodnih organizacija</t>
  </si>
  <si>
    <t>3823</t>
  </si>
  <si>
    <t xml:space="preserve">Ostali rashodi </t>
  </si>
  <si>
    <t>Kapitalne donacije</t>
  </si>
  <si>
    <t>Kapitalne donacije iz EU sredstava</t>
  </si>
  <si>
    <t>3864</t>
  </si>
  <si>
    <t>Kapitalne pomoći iz EU sredstava</t>
  </si>
  <si>
    <t>3823 Kapitalne doncije iz EU sredstava</t>
  </si>
  <si>
    <t>3864 Kapitalne pomoći iz EU sredstava</t>
  </si>
  <si>
    <t>Izvor: 6 Donacije</t>
  </si>
  <si>
    <t>Izvor: 61 Donacije</t>
  </si>
  <si>
    <t>IZVORNI PLAN ILI REBALANS 2026.*</t>
  </si>
  <si>
    <t>TEKUĆI PLAN 2026.*</t>
  </si>
  <si>
    <t xml:space="preserve">OSTVARENJE/IZVRŠENJE 
1.-6.2026. </t>
  </si>
  <si>
    <t xml:space="preserve">OSTVARENJE/ IZVRŠENJE 
1.-6.2026. </t>
  </si>
  <si>
    <t xml:space="preserve"> IZVRŠENJE 
1.-6.2026. </t>
  </si>
  <si>
    <t>IZVRŠENJE FINANCIJSKOG PLANA PRORAČUNSKOG KORISNIKA DRŽAVNOG PRORAČUNA
ZA PRVO POLUGODIŠTE 2026. GODINE</t>
  </si>
  <si>
    <t>Prihodi iz nadležnog proračuna za financiranje rashoda za nabavu nefinancijske imovine</t>
  </si>
  <si>
    <t>Kapitalni prijenosti između proračunskih korisnika istog proračuna temeljem prijenosa EU sredstava</t>
  </si>
  <si>
    <t>631</t>
  </si>
  <si>
    <t>Tekuće pomoći od inozemnih vlada</t>
  </si>
  <si>
    <t xml:space="preserve">  51000 Pomoći EU</t>
  </si>
  <si>
    <t xml:space="preserve">  56331  Europski fond za regionalni razvoj (ERDF)</t>
  </si>
  <si>
    <t xml:space="preserve">  58 Instrumenti EU nove generacije</t>
  </si>
  <si>
    <t>Kapitalne pomoći temeljem prijenosa EU sredstava</t>
  </si>
  <si>
    <t>Pomoći temeljem prijenosa EU sredstava</t>
  </si>
  <si>
    <t xml:space="preserve">  5043 Pomoći iz državnog proračuna</t>
  </si>
  <si>
    <t xml:space="preserve">  56311  Europski fond za regionalni razvoj (ERDF)</t>
  </si>
  <si>
    <t>Izvor: 5043 Pomoći iz državnog proračuna</t>
  </si>
  <si>
    <t>Izvor: 5100 Pomoći EU</t>
  </si>
  <si>
    <t>4231 Prijevozna sredstva u cestovnom prometu</t>
  </si>
  <si>
    <t>Izvor: 58100</t>
  </si>
  <si>
    <t>3682 Kapitalne pomoći temeljem prijenosa EU sredstava</t>
  </si>
  <si>
    <t>3823 Kapitalne donacije iz EU sredstava</t>
  </si>
  <si>
    <t>A779062 PROGRAM PREKOGRANIČNE SURADNJE - UPRAVLJAČKO TIJELO IZ INOZEMSTVA</t>
  </si>
  <si>
    <t>Izvor 50</t>
  </si>
  <si>
    <t>Izvor 51</t>
  </si>
  <si>
    <t>Izvor 58</t>
  </si>
  <si>
    <t xml:space="preserve">  Pomoći EU</t>
  </si>
  <si>
    <t xml:space="preserve">  Pomoći iz državnog proračuna</t>
  </si>
  <si>
    <t xml:space="preserve">  Instrumenti EU nove generacije</t>
  </si>
  <si>
    <t>Izvor 56</t>
  </si>
  <si>
    <t xml:space="preserve">  Fondovi EU</t>
  </si>
  <si>
    <t>A779000 ADMINISTRACIJA I UPRAVLJANJE</t>
  </si>
  <si>
    <t>A779021 ZAŠTITA PRIRODE</t>
  </si>
  <si>
    <t>K779040 OPKK</t>
  </si>
  <si>
    <t>Izvor: 56 Fondovi EU  (56331)</t>
  </si>
  <si>
    <t>Izvor: 56 Fondovi EU (56311)</t>
  </si>
  <si>
    <t>3235 zakupnine i najamnine</t>
  </si>
  <si>
    <t>Prihodi posebne namjene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</si>
</sst>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n_-;\-* #,##0.00\ _k_n_-;_-* &quot;-&quot;??\ _k_n_-;_-@_-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24" fillId="0" borderId="0" applyFont="0" applyFill="0" applyBorder="0" applyAlignment="0" applyProtection="0"/>
  </cellStyleXfs>
  <cellXfs count="198">
    <xf numFmtId="0" fontId="0" fillId="0" borderId="0" xfId="0"/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wrapText="1" inden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0" fillId="0" borderId="3" xfId="0" applyBorder="1"/>
    <xf numFmtId="0" fontId="10" fillId="0" borderId="0" xfId="0" applyFont="1" applyAlignment="1">
      <alignment vertical="top" wrapText="1"/>
    </xf>
    <xf numFmtId="0" fontId="5" fillId="3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4" fontId="5" fillId="3" borderId="3" xfId="0" applyNumberFormat="1" applyFont="1" applyFill="1" applyBorder="1" applyAlignment="1">
      <alignment horizontal="right"/>
    </xf>
    <xf numFmtId="4" fontId="3" fillId="0" borderId="3" xfId="0" applyNumberFormat="1" applyFont="1" applyBorder="1" applyAlignment="1">
      <alignment horizontal="right"/>
    </xf>
    <xf numFmtId="0" fontId="13" fillId="0" borderId="0" xfId="0" applyFont="1"/>
    <xf numFmtId="0" fontId="14" fillId="0" borderId="5" xfId="0" applyFont="1" applyBorder="1" applyAlignment="1">
      <alignment horizontal="right" vertical="center"/>
    </xf>
    <xf numFmtId="0" fontId="15" fillId="0" borderId="0" xfId="0" applyFont="1"/>
    <xf numFmtId="0" fontId="16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4" fontId="5" fillId="2" borderId="3" xfId="0" applyNumberFormat="1" applyFont="1" applyFill="1" applyBorder="1" applyAlignment="1">
      <alignment horizontal="right"/>
    </xf>
    <xf numFmtId="0" fontId="15" fillId="0" borderId="3" xfId="0" applyFont="1" applyBorder="1"/>
    <xf numFmtId="4" fontId="15" fillId="0" borderId="3" xfId="0" applyNumberFormat="1" applyFont="1" applyBorder="1"/>
    <xf numFmtId="3" fontId="5" fillId="2" borderId="3" xfId="0" applyNumberFormat="1" applyFont="1" applyFill="1" applyBorder="1" applyAlignment="1">
      <alignment horizontal="right"/>
    </xf>
    <xf numFmtId="0" fontId="1" fillId="0" borderId="3" xfId="0" applyFont="1" applyBorder="1"/>
    <xf numFmtId="4" fontId="16" fillId="2" borderId="3" xfId="0" applyNumberFormat="1" applyFont="1" applyFill="1" applyBorder="1" applyAlignment="1">
      <alignment wrapText="1"/>
    </xf>
    <xf numFmtId="4" fontId="16" fillId="2" borderId="3" xfId="0" applyNumberFormat="1" applyFont="1" applyFill="1" applyBorder="1"/>
    <xf numFmtId="4" fontId="6" fillId="2" borderId="3" xfId="0" applyNumberFormat="1" applyFont="1" applyFill="1" applyBorder="1" applyAlignment="1">
      <alignment vertical="center" wrapText="1"/>
    </xf>
    <xf numFmtId="4" fontId="8" fillId="2" borderId="3" xfId="0" applyNumberFormat="1" applyFont="1" applyFill="1" applyBorder="1" applyAlignment="1">
      <alignment vertical="center" wrapText="1"/>
    </xf>
    <xf numFmtId="4" fontId="16" fillId="0" borderId="3" xfId="0" applyNumberFormat="1" applyFont="1" applyBorder="1"/>
    <xf numFmtId="0" fontId="7" fillId="2" borderId="3" xfId="0" applyFont="1" applyFill="1" applyBorder="1" applyAlignment="1">
      <alignment horizontal="left" vertical="center" wrapText="1"/>
    </xf>
    <xf numFmtId="4" fontId="15" fillId="0" borderId="4" xfId="0" applyNumberFormat="1" applyFont="1" applyBorder="1" applyAlignment="1">
      <alignment horizontal="right" vertical="center"/>
    </xf>
    <xf numFmtId="4" fontId="15" fillId="0" borderId="3" xfId="0" applyNumberFormat="1" applyFont="1" applyBorder="1" applyAlignment="1">
      <alignment horizontal="right" vertical="center"/>
    </xf>
    <xf numFmtId="4" fontId="18" fillId="0" borderId="4" xfId="0" applyNumberFormat="1" applyFont="1" applyBorder="1" applyAlignment="1">
      <alignment horizontal="right" vertical="center"/>
    </xf>
    <xf numFmtId="4" fontId="18" fillId="0" borderId="3" xfId="0" applyNumberFormat="1" applyFont="1" applyBorder="1" applyAlignment="1">
      <alignment horizontal="right" vertical="center"/>
    </xf>
    <xf numFmtId="4" fontId="16" fillId="0" borderId="4" xfId="0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/>
    </xf>
    <xf numFmtId="4" fontId="6" fillId="0" borderId="3" xfId="0" applyNumberFormat="1" applyFont="1" applyBorder="1" applyAlignment="1">
      <alignment horizontal="right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left" vertical="center" wrapText="1"/>
    </xf>
    <xf numFmtId="4" fontId="15" fillId="0" borderId="3" xfId="0" applyNumberFormat="1" applyFont="1" applyBorder="1" applyAlignment="1">
      <alignment horizontal="right"/>
    </xf>
    <xf numFmtId="0" fontId="15" fillId="0" borderId="3" xfId="0" applyFont="1" applyBorder="1" applyAlignment="1">
      <alignment vertical="center"/>
    </xf>
    <xf numFmtId="49" fontId="15" fillId="0" borderId="3" xfId="0" applyNumberFormat="1" applyFont="1" applyBorder="1" applyAlignment="1">
      <alignment horizontal="right" vertical="center"/>
    </xf>
    <xf numFmtId="4" fontId="15" fillId="0" borderId="3" xfId="0" applyNumberFormat="1" applyFont="1" applyBorder="1" applyAlignment="1">
      <alignment vertical="center"/>
    </xf>
    <xf numFmtId="0" fontId="15" fillId="0" borderId="3" xfId="0" applyFont="1" applyBorder="1" applyAlignment="1">
      <alignment vertical="center" wrapText="1"/>
    </xf>
    <xf numFmtId="4" fontId="15" fillId="0" borderId="3" xfId="0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left" vertical="center" wrapText="1"/>
    </xf>
    <xf numFmtId="49" fontId="15" fillId="0" borderId="3" xfId="0" applyNumberFormat="1" applyFont="1" applyBorder="1" applyAlignment="1">
      <alignment vertical="center"/>
    </xf>
    <xf numFmtId="49" fontId="15" fillId="0" borderId="3" xfId="0" applyNumberFormat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/>
    </xf>
    <xf numFmtId="0" fontId="12" fillId="4" borderId="6" xfId="0" applyFont="1" applyFill="1" applyBorder="1" applyAlignment="1">
      <alignment wrapText="1"/>
    </xf>
    <xf numFmtId="4" fontId="5" fillId="2" borderId="3" xfId="0" applyNumberFormat="1" applyFont="1" applyFill="1" applyBorder="1"/>
    <xf numFmtId="4" fontId="12" fillId="4" borderId="7" xfId="0" applyNumberFormat="1" applyFont="1" applyFill="1" applyBorder="1" applyAlignment="1">
      <alignment wrapText="1"/>
    </xf>
    <xf numFmtId="2" fontId="15" fillId="0" borderId="3" xfId="0" applyNumberFormat="1" applyFont="1" applyBorder="1"/>
    <xf numFmtId="4" fontId="15" fillId="2" borderId="3" xfId="0" applyNumberFormat="1" applyFont="1" applyFill="1" applyBorder="1" applyAlignment="1">
      <alignment wrapText="1"/>
    </xf>
    <xf numFmtId="4" fontId="15" fillId="2" borderId="3" xfId="0" applyNumberFormat="1" applyFont="1" applyFill="1" applyBorder="1"/>
    <xf numFmtId="0" fontId="15" fillId="0" borderId="3" xfId="0" applyFont="1" applyBorder="1" applyAlignment="1">
      <alignment horizontal="left" wrapText="1"/>
    </xf>
    <xf numFmtId="0" fontId="17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3" fillId="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wrapText="1"/>
    </xf>
    <xf numFmtId="0" fontId="6" fillId="2" borderId="3" xfId="0" applyFont="1" applyFill="1" applyBorder="1" applyAlignment="1">
      <alignment horizontal="left" vertical="center" wrapText="1" indent="1"/>
    </xf>
    <xf numFmtId="4" fontId="17" fillId="0" borderId="3" xfId="0" applyNumberFormat="1" applyFont="1" applyBorder="1" applyAlignment="1">
      <alignment horizontal="right" wrapText="1"/>
    </xf>
    <xf numFmtId="4" fontId="16" fillId="3" borderId="3" xfId="0" applyNumberFormat="1" applyFont="1" applyFill="1" applyBorder="1" applyAlignment="1">
      <alignment wrapText="1"/>
    </xf>
    <xf numFmtId="4" fontId="16" fillId="3" borderId="3" xfId="0" applyNumberFormat="1" applyFont="1" applyFill="1" applyBorder="1"/>
    <xf numFmtId="0" fontId="19" fillId="0" borderId="0" xfId="0" applyFont="1" applyAlignment="1">
      <alignment wrapText="1"/>
    </xf>
    <xf numFmtId="0" fontId="13" fillId="3" borderId="0" xfId="0" applyFont="1" applyFill="1"/>
    <xf numFmtId="0" fontId="13" fillId="0" borderId="0" xfId="0" applyFont="1" applyAlignment="1">
      <alignment horizontal="left"/>
    </xf>
    <xf numFmtId="0" fontId="13" fillId="3" borderId="0" xfId="0" applyFont="1" applyFill="1" applyAlignment="1">
      <alignment horizontal="left"/>
    </xf>
    <xf numFmtId="0" fontId="16" fillId="0" borderId="0" xfId="0" applyFont="1" applyAlignment="1">
      <alignment vertical="top" wrapText="1"/>
    </xf>
    <xf numFmtId="2" fontId="16" fillId="0" borderId="3" xfId="0" applyNumberFormat="1" applyFont="1" applyBorder="1"/>
    <xf numFmtId="0" fontId="5" fillId="3" borderId="4" xfId="0" applyFont="1" applyFill="1" applyBorder="1" applyAlignment="1">
      <alignment horizontal="left" vertical="center" wrapText="1"/>
    </xf>
    <xf numFmtId="4" fontId="21" fillId="0" borderId="3" xfId="0" applyNumberFormat="1" applyFont="1" applyBorder="1" applyAlignment="1">
      <alignment horizontal="right"/>
    </xf>
    <xf numFmtId="4" fontId="14" fillId="3" borderId="3" xfId="0" applyNumberFormat="1" applyFont="1" applyFill="1" applyBorder="1" applyAlignment="1">
      <alignment horizontal="right"/>
    </xf>
    <xf numFmtId="0" fontId="21" fillId="0" borderId="0" xfId="0" applyFont="1"/>
    <xf numFmtId="0" fontId="15" fillId="0" borderId="3" xfId="0" applyFont="1" applyBorder="1" applyAlignment="1">
      <alignment horizontal="left"/>
    </xf>
    <xf numFmtId="4" fontId="15" fillId="0" borderId="0" xfId="0" applyNumberFormat="1" applyFont="1"/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right" vertical="center"/>
    </xf>
    <xf numFmtId="0" fontId="16" fillId="0" borderId="3" xfId="0" quotePrefix="1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4" fontId="16" fillId="3" borderId="3" xfId="0" applyNumberFormat="1" applyFont="1" applyFill="1" applyBorder="1" applyAlignment="1">
      <alignment vertical="center"/>
    </xf>
    <xf numFmtId="4" fontId="16" fillId="3" borderId="3" xfId="0" applyNumberFormat="1" applyFont="1" applyFill="1" applyBorder="1" applyAlignment="1">
      <alignment horizontal="right"/>
    </xf>
    <xf numFmtId="4" fontId="16" fillId="3" borderId="3" xfId="0" applyNumberFormat="1" applyFont="1" applyFill="1" applyBorder="1" applyAlignment="1">
      <alignment vertical="center" wrapText="1"/>
    </xf>
    <xf numFmtId="0" fontId="16" fillId="0" borderId="3" xfId="0" quotePrefix="1" applyFont="1" applyBorder="1" applyAlignment="1">
      <alignment horizontal="center" vertical="center"/>
    </xf>
    <xf numFmtId="4" fontId="16" fillId="0" borderId="3" xfId="0" applyNumberFormat="1" applyFont="1" applyBorder="1" applyAlignment="1">
      <alignment horizontal="right" vertical="center" wrapText="1"/>
    </xf>
    <xf numFmtId="4" fontId="16" fillId="3" borderId="3" xfId="0" quotePrefix="1" applyNumberFormat="1" applyFont="1" applyFill="1" applyBorder="1" applyAlignment="1">
      <alignment horizontal="right" wrapText="1"/>
    </xf>
    <xf numFmtId="4" fontId="16" fillId="3" borderId="3" xfId="0" applyNumberFormat="1" applyFont="1" applyFill="1" applyBorder="1" applyAlignment="1">
      <alignment horizontal="right" wrapText="1"/>
    </xf>
    <xf numFmtId="4" fontId="0" fillId="0" borderId="0" xfId="0" applyNumberFormat="1"/>
    <xf numFmtId="0" fontId="12" fillId="0" borderId="2" xfId="0" applyFont="1" applyBorder="1"/>
    <xf numFmtId="0" fontId="15" fillId="0" borderId="4" xfId="0" applyFont="1" applyBorder="1"/>
    <xf numFmtId="0" fontId="15" fillId="2" borderId="1" xfId="0" applyFont="1" applyFill="1" applyBorder="1" applyAlignment="1">
      <alignment horizontal="left"/>
    </xf>
    <xf numFmtId="0" fontId="23" fillId="0" borderId="0" xfId="0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13" fillId="0" borderId="3" xfId="0" applyFont="1" applyBorder="1"/>
    <xf numFmtId="0" fontId="13" fillId="0" borderId="3" xfId="0" applyFont="1" applyBorder="1" applyAlignment="1">
      <alignment horizontal="left"/>
    </xf>
    <xf numFmtId="0" fontId="15" fillId="0" borderId="3" xfId="0" quotePrefix="1" applyFont="1" applyBorder="1"/>
    <xf numFmtId="43" fontId="13" fillId="0" borderId="0" xfId="2" applyFont="1"/>
    <xf numFmtId="43" fontId="3" fillId="0" borderId="0" xfId="2" applyFont="1"/>
    <xf numFmtId="0" fontId="6" fillId="0" borderId="3" xfId="0" applyFont="1" applyBorder="1" applyAlignment="1">
      <alignment horizontal="right" vertical="center" wrapText="1"/>
    </xf>
    <xf numFmtId="4" fontId="15" fillId="2" borderId="4" xfId="0" applyNumberFormat="1" applyFont="1" applyFill="1" applyBorder="1" applyAlignment="1">
      <alignment horizontal="right" vertical="center"/>
    </xf>
    <xf numFmtId="4" fontId="15" fillId="2" borderId="3" xfId="0" applyNumberFormat="1" applyFont="1" applyFill="1" applyBorder="1" applyAlignment="1">
      <alignment horizontal="right" vertical="center"/>
    </xf>
    <xf numFmtId="4" fontId="18" fillId="2" borderId="4" xfId="0" applyNumberFormat="1" applyFont="1" applyFill="1" applyBorder="1" applyAlignment="1">
      <alignment horizontal="right" vertical="center"/>
    </xf>
    <xf numFmtId="4" fontId="18" fillId="2" borderId="3" xfId="0" applyNumberFormat="1" applyFont="1" applyFill="1" applyBorder="1" applyAlignment="1">
      <alignment horizontal="right" vertical="center"/>
    </xf>
    <xf numFmtId="0" fontId="15" fillId="0" borderId="3" xfId="0" applyFont="1" applyBorder="1" applyAlignment="1">
      <alignment wrapText="1"/>
    </xf>
    <xf numFmtId="43" fontId="0" fillId="0" borderId="0" xfId="2" applyFont="1"/>
    <xf numFmtId="164" fontId="0" fillId="0" borderId="0" xfId="0" applyNumberFormat="1"/>
    <xf numFmtId="43" fontId="13" fillId="0" borderId="0" xfId="2" applyFont="1" applyAlignment="1">
      <alignment horizontal="left"/>
    </xf>
    <xf numFmtId="164" fontId="13" fillId="0" borderId="0" xfId="0" applyNumberFormat="1" applyFont="1"/>
    <xf numFmtId="4" fontId="16" fillId="2" borderId="3" xfId="0" applyNumberFormat="1" applyFont="1" applyFill="1" applyBorder="1" applyAlignment="1">
      <alignment horizontal="right"/>
    </xf>
    <xf numFmtId="4" fontId="16" fillId="0" borderId="0" xfId="0" applyNumberFormat="1" applyFont="1"/>
    <xf numFmtId="43" fontId="15" fillId="0" borderId="0" xfId="2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8" fillId="0" borderId="1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center" wrapText="1"/>
    </xf>
    <xf numFmtId="0" fontId="5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8" fillId="3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2" fillId="0" borderId="2" xfId="0" applyFont="1" applyBorder="1"/>
    <xf numFmtId="0" fontId="15" fillId="0" borderId="4" xfId="0" applyFont="1" applyBorder="1"/>
    <xf numFmtId="0" fontId="15" fillId="2" borderId="2" xfId="0" applyFont="1" applyFill="1" applyBorder="1" applyAlignment="1">
      <alignment horizontal="left" wrapText="1"/>
    </xf>
    <xf numFmtId="0" fontId="15" fillId="2" borderId="4" xfId="0" applyFont="1" applyFill="1" applyBorder="1" applyAlignment="1">
      <alignment horizontal="left" wrapText="1"/>
    </xf>
    <xf numFmtId="0" fontId="16" fillId="2" borderId="1" xfId="0" applyFont="1" applyFill="1" applyBorder="1" applyAlignment="1">
      <alignment horizontal="left" wrapText="1"/>
    </xf>
    <xf numFmtId="0" fontId="17" fillId="0" borderId="2" xfId="0" applyFont="1" applyBorder="1"/>
    <xf numFmtId="0" fontId="16" fillId="0" borderId="4" xfId="0" applyFont="1" applyBorder="1"/>
    <xf numFmtId="0" fontId="16" fillId="3" borderId="1" xfId="0" applyFont="1" applyFill="1" applyBorder="1" applyAlignment="1">
      <alignment horizontal="left" wrapText="1"/>
    </xf>
    <xf numFmtId="0" fontId="17" fillId="3" borderId="2" xfId="0" applyFont="1" applyFill="1" applyBorder="1"/>
    <xf numFmtId="0" fontId="16" fillId="3" borderId="4" xfId="0" applyFont="1" applyFill="1" applyBorder="1"/>
    <xf numFmtId="0" fontId="12" fillId="0" borderId="2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6" fillId="2" borderId="2" xfId="0" applyFont="1" applyFill="1" applyBorder="1"/>
    <xf numFmtId="0" fontId="5" fillId="3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6" fillId="0" borderId="4" xfId="0" applyFont="1" applyBorder="1" applyAlignment="1">
      <alignment horizontal="left" wrapText="1"/>
    </xf>
    <xf numFmtId="0" fontId="20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left" wrapText="1"/>
    </xf>
    <xf numFmtId="0" fontId="15" fillId="2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wrapText="1"/>
    </xf>
    <xf numFmtId="2" fontId="16" fillId="2" borderId="3" xfId="0" applyNumberFormat="1" applyFont="1" applyFill="1" applyBorder="1" applyAlignment="1">
      <alignment horizontal="left" vertical="center" wrapText="1"/>
    </xf>
    <xf numFmtId="2" fontId="16" fillId="0" borderId="3" xfId="0" applyNumberFormat="1" applyFont="1" applyBorder="1" applyAlignment="1">
      <alignment horizontal="left" wrapText="1"/>
    </xf>
    <xf numFmtId="0" fontId="15" fillId="2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6" fillId="2" borderId="2" xfId="0" applyFont="1" applyFill="1" applyBorder="1" applyAlignment="1">
      <alignment horizontal="left" wrapText="1"/>
    </xf>
    <xf numFmtId="0" fontId="16" fillId="2" borderId="4" xfId="0" applyFont="1" applyFill="1" applyBorder="1" applyAlignment="1">
      <alignment horizontal="left" wrapText="1"/>
    </xf>
    <xf numFmtId="0" fontId="16" fillId="3" borderId="2" xfId="0" applyFont="1" applyFill="1" applyBorder="1"/>
    <xf numFmtId="0" fontId="16" fillId="2" borderId="3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wrapText="1"/>
    </xf>
  </cellXfs>
  <cellStyles count="3">
    <cellStyle name="Normalno" xfId="0" builtinId="0"/>
    <cellStyle name="Obično_List4" xfId="1" xr:uid="{00000000-0005-0000-0000-000001000000}"/>
    <cellStyle name="Zarez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38099</xdr:rowOff>
    </xdr:from>
    <xdr:to>
      <xdr:col>11</xdr:col>
      <xdr:colOff>733425</xdr:colOff>
      <xdr:row>6</xdr:row>
      <xdr:rowOff>161924</xdr:rowOff>
    </xdr:to>
    <xdr:pic>
      <xdr:nvPicPr>
        <xdr:cNvPr id="2" name="Slika 7">
          <a:extLst>
            <a:ext uri="{FF2B5EF4-FFF2-40B4-BE49-F238E27FC236}">
              <a16:creationId xmlns:a16="http://schemas.microsoft.com/office/drawing/2014/main" id="{F881373A-4145-ADA5-DF8C-0242D66228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405"/>
        <a:stretch/>
      </xdr:blipFill>
      <xdr:spPr>
        <a:xfrm>
          <a:off x="638175" y="38099"/>
          <a:ext cx="12668250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AW83"/>
  <sheetViews>
    <sheetView topLeftCell="B22" zoomScaleNormal="100" workbookViewId="0">
      <selection activeCell="J32" sqref="J32"/>
    </sheetView>
  </sheetViews>
  <sheetFormatPr defaultRowHeight="14.25" x14ac:dyDescent="0.2"/>
  <cols>
    <col min="1" max="1" width="9.140625" style="28"/>
    <col min="2" max="2" width="9.85546875" style="28" customWidth="1"/>
    <col min="3" max="5" width="9.140625" style="28"/>
    <col min="6" max="10" width="25.28515625" style="28" customWidth="1"/>
    <col min="11" max="12" width="15.7109375" style="28" customWidth="1"/>
    <col min="13" max="13" width="25.28515625" style="28" customWidth="1"/>
    <col min="14" max="14" width="9.140625" style="28"/>
    <col min="15" max="16" width="12.7109375" style="115" bestFit="1" customWidth="1"/>
    <col min="17" max="17" width="11.42578125" style="28" bestFit="1" customWidth="1"/>
    <col min="18" max="16384" width="9.140625" style="28"/>
  </cols>
  <sheetData>
    <row r="8" spans="1:13" ht="42" customHeight="1" x14ac:dyDescent="0.2">
      <c r="B8" s="143" t="s">
        <v>285</v>
      </c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6"/>
    </row>
    <row r="9" spans="1:13" ht="18" customHeight="1" x14ac:dyDescent="0.2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5.75" customHeight="1" x14ac:dyDescent="0.2">
      <c r="B10" s="143" t="s">
        <v>10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5"/>
    </row>
    <row r="11" spans="1:13" ht="18" x14ac:dyDescent="0.2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</row>
    <row r="12" spans="1:13" ht="18" customHeight="1" x14ac:dyDescent="0.2">
      <c r="B12" s="143" t="s">
        <v>46</v>
      </c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82"/>
    </row>
    <row r="13" spans="1:13" ht="18" customHeight="1" x14ac:dyDescent="0.2">
      <c r="A13" s="28" t="s">
        <v>258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82"/>
    </row>
    <row r="14" spans="1:13" ht="18" customHeight="1" x14ac:dyDescent="0.2">
      <c r="A14" s="30"/>
      <c r="B14" s="133" t="s">
        <v>55</v>
      </c>
      <c r="C14" s="133"/>
      <c r="D14" s="133"/>
      <c r="E14" s="133"/>
      <c r="F14" s="133"/>
      <c r="G14" s="94"/>
      <c r="H14" s="31"/>
      <c r="I14" s="31"/>
      <c r="J14" s="31"/>
      <c r="K14" s="95"/>
      <c r="L14" s="29"/>
    </row>
    <row r="15" spans="1:13" ht="25.5" x14ac:dyDescent="0.2">
      <c r="A15" s="30"/>
      <c r="B15" s="136" t="s">
        <v>6</v>
      </c>
      <c r="C15" s="136"/>
      <c r="D15" s="136"/>
      <c r="E15" s="136"/>
      <c r="F15" s="136"/>
      <c r="G15" s="96" t="s">
        <v>264</v>
      </c>
      <c r="H15" s="96" t="s">
        <v>280</v>
      </c>
      <c r="I15" s="96" t="s">
        <v>281</v>
      </c>
      <c r="J15" s="96" t="s">
        <v>282</v>
      </c>
      <c r="K15" s="96" t="s">
        <v>18</v>
      </c>
      <c r="L15" s="17" t="s">
        <v>44</v>
      </c>
    </row>
    <row r="16" spans="1:13" x14ac:dyDescent="0.2">
      <c r="A16" s="30"/>
      <c r="B16" s="150">
        <v>1</v>
      </c>
      <c r="C16" s="150"/>
      <c r="D16" s="150"/>
      <c r="E16" s="150"/>
      <c r="F16" s="151"/>
      <c r="G16" s="96">
        <v>2</v>
      </c>
      <c r="H16" s="97">
        <v>3</v>
      </c>
      <c r="I16" s="97">
        <v>4</v>
      </c>
      <c r="J16" s="97">
        <v>5</v>
      </c>
      <c r="K16" s="97" t="s">
        <v>31</v>
      </c>
      <c r="L16" s="2" t="s">
        <v>32</v>
      </c>
      <c r="M16" s="115"/>
    </row>
    <row r="17" spans="1:49" x14ac:dyDescent="0.2">
      <c r="A17" s="30"/>
      <c r="B17" s="134" t="s">
        <v>20</v>
      </c>
      <c r="C17" s="135"/>
      <c r="D17" s="135"/>
      <c r="E17" s="135"/>
      <c r="F17" s="148"/>
      <c r="G17" s="57">
        <v>488508.77</v>
      </c>
      <c r="H17" s="57">
        <v>6217536</v>
      </c>
      <c r="I17" s="57">
        <f>+H17</f>
        <v>6217536</v>
      </c>
      <c r="J17" s="57">
        <v>452042.39</v>
      </c>
      <c r="K17" s="57">
        <f>J17/G17*100</f>
        <v>92.535163698289395</v>
      </c>
      <c r="L17" s="27">
        <f>J17/I17*100</f>
        <v>7.2704426641035935</v>
      </c>
      <c r="M17" s="115"/>
    </row>
    <row r="18" spans="1:49" x14ac:dyDescent="0.2">
      <c r="A18" s="30"/>
      <c r="B18" s="149" t="s">
        <v>19</v>
      </c>
      <c r="C18" s="148"/>
      <c r="D18" s="148"/>
      <c r="E18" s="148"/>
      <c r="F18" s="148"/>
      <c r="G18" s="60">
        <v>0</v>
      </c>
      <c r="H18" s="57">
        <v>0</v>
      </c>
      <c r="I18" s="57">
        <f>+H18</f>
        <v>0</v>
      </c>
      <c r="J18" s="57">
        <v>0</v>
      </c>
      <c r="K18" s="57" t="e">
        <f t="shared" ref="K18:K23" si="0">J18/G18*100</f>
        <v>#DIV/0!</v>
      </c>
      <c r="L18" s="27" t="e">
        <f t="shared" ref="L18:L23" si="1">J18/I18*100</f>
        <v>#DIV/0!</v>
      </c>
      <c r="M18" s="115"/>
    </row>
    <row r="19" spans="1:49" x14ac:dyDescent="0.2">
      <c r="A19" s="30"/>
      <c r="B19" s="145" t="s">
        <v>0</v>
      </c>
      <c r="C19" s="146"/>
      <c r="D19" s="146"/>
      <c r="E19" s="146"/>
      <c r="F19" s="147"/>
      <c r="G19" s="98">
        <f>SUM(G17:G18)</f>
        <v>488508.77</v>
      </c>
      <c r="H19" s="98">
        <f t="shared" ref="H19:J19" si="2">SUM(H17:H18)</f>
        <v>6217536</v>
      </c>
      <c r="I19" s="98">
        <f t="shared" si="2"/>
        <v>6217536</v>
      </c>
      <c r="J19" s="98">
        <f t="shared" si="2"/>
        <v>452042.39</v>
      </c>
      <c r="K19" s="99">
        <f t="shared" si="0"/>
        <v>92.535163698289395</v>
      </c>
      <c r="L19" s="26">
        <f t="shared" si="1"/>
        <v>7.2704426641035935</v>
      </c>
      <c r="M19" s="115"/>
    </row>
    <row r="20" spans="1:49" x14ac:dyDescent="0.2">
      <c r="A20" s="30"/>
      <c r="B20" s="154" t="s">
        <v>21</v>
      </c>
      <c r="C20" s="135"/>
      <c r="D20" s="135"/>
      <c r="E20" s="135"/>
      <c r="F20" s="135"/>
      <c r="G20" s="57">
        <v>408039.87</v>
      </c>
      <c r="H20" s="57">
        <f>6217536-H21</f>
        <v>4690576</v>
      </c>
      <c r="I20" s="57">
        <f>+H20</f>
        <v>4690576</v>
      </c>
      <c r="J20" s="57">
        <f>446572.76-J21</f>
        <v>436025.38</v>
      </c>
      <c r="K20" s="57">
        <f t="shared" si="0"/>
        <v>106.85852340850907</v>
      </c>
      <c r="L20" s="27">
        <f t="shared" si="1"/>
        <v>9.2957747619908524</v>
      </c>
      <c r="M20" s="115"/>
    </row>
    <row r="21" spans="1:49" x14ac:dyDescent="0.2">
      <c r="A21" s="30"/>
      <c r="B21" s="149" t="s">
        <v>22</v>
      </c>
      <c r="C21" s="148"/>
      <c r="D21" s="148"/>
      <c r="E21" s="148"/>
      <c r="F21" s="148"/>
      <c r="G21" s="60">
        <v>73701.89</v>
      </c>
      <c r="H21" s="57">
        <f>16500+50000+181835+248000+1030625</f>
        <v>1526960</v>
      </c>
      <c r="I21" s="57">
        <f>+H21</f>
        <v>1526960</v>
      </c>
      <c r="J21" s="57">
        <v>10547.38</v>
      </c>
      <c r="K21" s="57">
        <f t="shared" si="0"/>
        <v>14.310867740298111</v>
      </c>
      <c r="L21" s="27">
        <f t="shared" si="1"/>
        <v>0.6907436999004557</v>
      </c>
      <c r="M21" s="115"/>
    </row>
    <row r="22" spans="1:49" x14ac:dyDescent="0.2">
      <c r="A22" s="30"/>
      <c r="B22" s="11" t="s">
        <v>1</v>
      </c>
      <c r="C22" s="12"/>
      <c r="D22" s="12"/>
      <c r="E22" s="12"/>
      <c r="F22" s="12"/>
      <c r="G22" s="98">
        <f>SUM(G20:G21)</f>
        <v>481741.76</v>
      </c>
      <c r="H22" s="98">
        <f>SUM(H20:H21)</f>
        <v>6217536</v>
      </c>
      <c r="I22" s="98">
        <f t="shared" ref="I22:J22" si="3">SUM(I20:I21)</f>
        <v>6217536</v>
      </c>
      <c r="J22" s="98">
        <f t="shared" si="3"/>
        <v>446572.76</v>
      </c>
      <c r="K22" s="99">
        <f t="shared" si="0"/>
        <v>92.699615661303682</v>
      </c>
      <c r="L22" s="26">
        <f t="shared" si="1"/>
        <v>7.1824716414991414</v>
      </c>
      <c r="M22" s="115"/>
    </row>
    <row r="23" spans="1:49" x14ac:dyDescent="0.2">
      <c r="A23" s="30"/>
      <c r="B23" s="153" t="s">
        <v>2</v>
      </c>
      <c r="C23" s="146"/>
      <c r="D23" s="146"/>
      <c r="E23" s="146"/>
      <c r="F23" s="146"/>
      <c r="G23" s="100">
        <f>G19-G22</f>
        <v>6767.0100000000093</v>
      </c>
      <c r="H23" s="100">
        <f>H19-H22</f>
        <v>0</v>
      </c>
      <c r="I23" s="100">
        <f>I19-I22</f>
        <v>0</v>
      </c>
      <c r="J23" s="100">
        <f>J19-J22</f>
        <v>5469.6300000000047</v>
      </c>
      <c r="K23" s="99">
        <f t="shared" si="0"/>
        <v>80.827869324856877</v>
      </c>
      <c r="L23" s="26" t="e">
        <f t="shared" si="1"/>
        <v>#DIV/0!</v>
      </c>
      <c r="M23" s="115"/>
    </row>
    <row r="24" spans="1:49" x14ac:dyDescent="0.2">
      <c r="A24" s="30"/>
      <c r="B24" s="32"/>
      <c r="C24" s="33"/>
      <c r="D24" s="33"/>
      <c r="E24" s="33"/>
      <c r="F24" s="33"/>
      <c r="G24" s="35"/>
      <c r="H24" s="35"/>
      <c r="I24" s="35"/>
      <c r="J24" s="35"/>
      <c r="K24" s="30"/>
      <c r="L24" s="1"/>
      <c r="M24" s="116"/>
    </row>
    <row r="25" spans="1:49" ht="18" customHeight="1" x14ac:dyDescent="0.2">
      <c r="A25" s="30"/>
      <c r="B25" s="133" t="s">
        <v>52</v>
      </c>
      <c r="C25" s="133"/>
      <c r="D25" s="133"/>
      <c r="E25" s="133"/>
      <c r="F25" s="133"/>
      <c r="G25" s="35"/>
      <c r="H25" s="35"/>
      <c r="I25" s="35"/>
      <c r="J25" s="35"/>
      <c r="K25" s="30"/>
      <c r="L25" s="1"/>
      <c r="M25" s="116"/>
      <c r="Q25" s="126"/>
    </row>
    <row r="26" spans="1:49" ht="25.5" x14ac:dyDescent="0.2">
      <c r="A26" s="30"/>
      <c r="B26" s="136" t="s">
        <v>6</v>
      </c>
      <c r="C26" s="136"/>
      <c r="D26" s="136"/>
      <c r="E26" s="136"/>
      <c r="F26" s="136"/>
      <c r="G26" s="96" t="s">
        <v>264</v>
      </c>
      <c r="H26" s="97" t="s">
        <v>280</v>
      </c>
      <c r="I26" s="97" t="s">
        <v>281</v>
      </c>
      <c r="J26" s="97" t="s">
        <v>282</v>
      </c>
      <c r="K26" s="97" t="s">
        <v>18</v>
      </c>
      <c r="L26" s="2" t="s">
        <v>44</v>
      </c>
      <c r="M26" s="115"/>
    </row>
    <row r="27" spans="1:49" x14ac:dyDescent="0.2">
      <c r="A27" s="30"/>
      <c r="B27" s="137">
        <v>1</v>
      </c>
      <c r="C27" s="138"/>
      <c r="D27" s="138"/>
      <c r="E27" s="138"/>
      <c r="F27" s="138"/>
      <c r="G27" s="101">
        <v>2</v>
      </c>
      <c r="H27" s="97">
        <v>3</v>
      </c>
      <c r="I27" s="97">
        <v>4</v>
      </c>
      <c r="J27" s="97">
        <v>5</v>
      </c>
      <c r="K27" s="97" t="s">
        <v>31</v>
      </c>
      <c r="L27" s="2" t="s">
        <v>32</v>
      </c>
    </row>
    <row r="28" spans="1:49" ht="15.75" customHeight="1" x14ac:dyDescent="0.2">
      <c r="A28" s="30"/>
      <c r="B28" s="134" t="s">
        <v>23</v>
      </c>
      <c r="C28" s="139"/>
      <c r="D28" s="139"/>
      <c r="E28" s="139"/>
      <c r="F28" s="139"/>
      <c r="G28" s="102">
        <v>0</v>
      </c>
      <c r="H28" s="66">
        <v>0</v>
      </c>
      <c r="I28" s="66">
        <v>0</v>
      </c>
      <c r="J28" s="66">
        <v>0</v>
      </c>
      <c r="K28" s="57" t="e">
        <f t="shared" ref="K28:K30" si="4">J28/G28*100</f>
        <v>#DIV/0!</v>
      </c>
      <c r="L28" s="89" t="e">
        <f t="shared" ref="L28:L30" si="5">J28/I28*100</f>
        <v>#DIV/0!</v>
      </c>
    </row>
    <row r="29" spans="1:49" x14ac:dyDescent="0.2">
      <c r="A29" s="30"/>
      <c r="B29" s="134" t="s">
        <v>24</v>
      </c>
      <c r="C29" s="135"/>
      <c r="D29" s="135"/>
      <c r="E29" s="135"/>
      <c r="F29" s="135"/>
      <c r="G29" s="62">
        <v>0</v>
      </c>
      <c r="H29" s="66">
        <v>0</v>
      </c>
      <c r="I29" s="66">
        <v>0</v>
      </c>
      <c r="J29" s="66">
        <v>0</v>
      </c>
      <c r="K29" s="57" t="e">
        <f t="shared" si="4"/>
        <v>#DIV/0!</v>
      </c>
      <c r="L29" s="89" t="e">
        <f t="shared" si="5"/>
        <v>#DIV/0!</v>
      </c>
    </row>
    <row r="30" spans="1:49" ht="15" customHeight="1" x14ac:dyDescent="0.2">
      <c r="A30" s="30"/>
      <c r="B30" s="140" t="s">
        <v>45</v>
      </c>
      <c r="C30" s="141"/>
      <c r="D30" s="141"/>
      <c r="E30" s="141"/>
      <c r="F30" s="142"/>
      <c r="G30" s="103">
        <f>G28-G29</f>
        <v>0</v>
      </c>
      <c r="H30" s="103">
        <f t="shared" ref="H30:J30" si="6">H28-H29</f>
        <v>0</v>
      </c>
      <c r="I30" s="103">
        <f t="shared" si="6"/>
        <v>0</v>
      </c>
      <c r="J30" s="103">
        <f t="shared" si="6"/>
        <v>0</v>
      </c>
      <c r="K30" s="57" t="e">
        <f t="shared" si="4"/>
        <v>#DIV/0!</v>
      </c>
      <c r="L30" s="89" t="e">
        <f t="shared" si="5"/>
        <v>#DIV/0!</v>
      </c>
    </row>
    <row r="31" spans="1:49" s="83" customFormat="1" ht="15" customHeight="1" x14ac:dyDescent="0.2">
      <c r="A31" s="30"/>
      <c r="B31" s="134" t="s">
        <v>13</v>
      </c>
      <c r="C31" s="135"/>
      <c r="D31" s="135"/>
      <c r="E31" s="135"/>
      <c r="F31" s="135"/>
      <c r="G31" s="62">
        <v>11823</v>
      </c>
      <c r="H31" s="66">
        <v>8348</v>
      </c>
      <c r="I31" s="66">
        <v>8348</v>
      </c>
      <c r="J31" s="66">
        <v>8348</v>
      </c>
      <c r="K31" s="57">
        <f>J31/G31*100</f>
        <v>70.608136682737026</v>
      </c>
      <c r="L31" s="89">
        <f>J31/I31*100</f>
        <v>100</v>
      </c>
      <c r="M31" s="28" t="s">
        <v>250</v>
      </c>
      <c r="N31" s="28"/>
      <c r="O31" s="115"/>
      <c r="P31" s="115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</row>
    <row r="32" spans="1:49" s="83" customFormat="1" ht="15" customHeight="1" x14ac:dyDescent="0.2">
      <c r="A32" s="30"/>
      <c r="B32" s="134" t="s">
        <v>51</v>
      </c>
      <c r="C32" s="135"/>
      <c r="D32" s="135"/>
      <c r="E32" s="135"/>
      <c r="F32" s="135"/>
      <c r="G32" s="62">
        <v>-18590.009999999998</v>
      </c>
      <c r="H32" s="66">
        <v>-8348</v>
      </c>
      <c r="I32" s="66">
        <v>-8348</v>
      </c>
      <c r="J32" s="127">
        <v>-13817.63</v>
      </c>
      <c r="K32" s="57">
        <f t="shared" ref="K32:K34" si="7">J32/G32*100</f>
        <v>74.328254799217433</v>
      </c>
      <c r="L32" s="89">
        <f t="shared" ref="L32:L34" si="8">J32/I32*100</f>
        <v>165.52024436990897</v>
      </c>
      <c r="M32" s="28" t="s">
        <v>251</v>
      </c>
      <c r="N32" s="28"/>
      <c r="O32" s="115"/>
      <c r="P32" s="115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</row>
    <row r="33" spans="1:49" s="85" customFormat="1" x14ac:dyDescent="0.2">
      <c r="A33" s="34"/>
      <c r="B33" s="140" t="s">
        <v>53</v>
      </c>
      <c r="C33" s="141"/>
      <c r="D33" s="141"/>
      <c r="E33" s="141"/>
      <c r="F33" s="142"/>
      <c r="G33" s="103">
        <f>SUM(G31:G32)</f>
        <v>-6767.0099999999984</v>
      </c>
      <c r="H33" s="103">
        <f t="shared" ref="H33:J33" si="9">SUM(H31:H32)</f>
        <v>0</v>
      </c>
      <c r="I33" s="103">
        <f t="shared" si="9"/>
        <v>0</v>
      </c>
      <c r="J33" s="103">
        <f t="shared" si="9"/>
        <v>-5469.6299999999992</v>
      </c>
      <c r="K33" s="99">
        <f t="shared" si="7"/>
        <v>80.82786932485692</v>
      </c>
      <c r="L33" s="90" t="e">
        <f t="shared" si="8"/>
        <v>#DIV/0!</v>
      </c>
      <c r="M33" s="84"/>
      <c r="N33" s="84"/>
      <c r="O33" s="125"/>
      <c r="P33" s="125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</row>
    <row r="34" spans="1:49" x14ac:dyDescent="0.2">
      <c r="A34" s="30"/>
      <c r="B34" s="152" t="s">
        <v>54</v>
      </c>
      <c r="C34" s="152"/>
      <c r="D34" s="152"/>
      <c r="E34" s="152"/>
      <c r="F34" s="152"/>
      <c r="G34" s="104">
        <f>G23+G33</f>
        <v>1.0913936421275139E-11</v>
      </c>
      <c r="H34" s="104">
        <f>H23+H33</f>
        <v>0</v>
      </c>
      <c r="I34" s="104">
        <f t="shared" ref="I34:J34" si="10">I23+I33</f>
        <v>0</v>
      </c>
      <c r="J34" s="104">
        <f t="shared" si="10"/>
        <v>0</v>
      </c>
      <c r="K34" s="99">
        <f t="shared" si="7"/>
        <v>0</v>
      </c>
      <c r="L34" s="90" t="e">
        <f t="shared" si="8"/>
        <v>#DIV/0!</v>
      </c>
    </row>
    <row r="35" spans="1:49" x14ac:dyDescent="0.2">
      <c r="A35" s="30"/>
      <c r="B35" s="30"/>
      <c r="C35" s="30"/>
      <c r="D35" s="30"/>
      <c r="E35" s="30"/>
      <c r="F35" s="30"/>
      <c r="G35" s="91"/>
      <c r="H35" s="91"/>
      <c r="I35" s="91"/>
      <c r="J35" s="91"/>
      <c r="K35" s="91"/>
      <c r="L35" s="91"/>
    </row>
    <row r="36" spans="1:49" x14ac:dyDescent="0.2">
      <c r="A36" s="30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</row>
    <row r="37" spans="1:49" x14ac:dyDescent="0.2">
      <c r="A37" s="30"/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</row>
    <row r="38" spans="1:49" ht="15" customHeight="1" x14ac:dyDescent="0.2">
      <c r="A38" s="30"/>
      <c r="B38" s="132" t="s">
        <v>265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</row>
    <row r="39" spans="1:49" ht="15" customHeight="1" x14ac:dyDescent="0.2">
      <c r="A39" s="30"/>
      <c r="B39" s="132" t="s">
        <v>49</v>
      </c>
      <c r="C39" s="132"/>
      <c r="D39" s="132"/>
      <c r="E39" s="132"/>
      <c r="F39" s="132"/>
      <c r="G39" s="132"/>
      <c r="H39" s="132"/>
      <c r="I39" s="132"/>
      <c r="J39" s="132"/>
      <c r="K39" s="132"/>
      <c r="L39" s="132"/>
    </row>
    <row r="40" spans="1:49" ht="36.75" customHeight="1" x14ac:dyDescent="0.2">
      <c r="A40" s="30"/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</row>
    <row r="41" spans="1:49" ht="15" customHeight="1" x14ac:dyDescent="0.2">
      <c r="A41" s="30"/>
      <c r="B41" s="144" t="s">
        <v>266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</row>
    <row r="42" spans="1:49" x14ac:dyDescent="0.2">
      <c r="A42" s="30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</row>
    <row r="43" spans="1:49" x14ac:dyDescent="0.2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</row>
    <row r="44" spans="1:49" x14ac:dyDescent="0.2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</row>
    <row r="45" spans="1:49" ht="15.75" x14ac:dyDescent="0.2">
      <c r="A45" s="30"/>
      <c r="B45" s="109" t="s">
        <v>263</v>
      </c>
      <c r="D45" s="30"/>
      <c r="E45" s="30"/>
      <c r="F45" s="30"/>
      <c r="G45" s="30"/>
      <c r="H45" s="30"/>
      <c r="I45" s="30"/>
      <c r="J45" s="30"/>
      <c r="K45" s="30"/>
      <c r="L45" s="30"/>
    </row>
    <row r="46" spans="1:49" x14ac:dyDescent="0.2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  <row r="47" spans="1:49" x14ac:dyDescent="0.2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  <row r="48" spans="1:49" x14ac:dyDescent="0.2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</row>
    <row r="49" spans="1:12" x14ac:dyDescent="0.2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  <row r="50" spans="1:12" x14ac:dyDescent="0.2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  <row r="51" spans="1:12" x14ac:dyDescent="0.2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2" spans="1:12" x14ac:dyDescent="0.2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</row>
    <row r="53" spans="1:12" x14ac:dyDescent="0.2">
      <c r="A53" s="30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</row>
    <row r="54" spans="1:12" x14ac:dyDescent="0.2">
      <c r="A54" s="30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</row>
    <row r="55" spans="1:12" x14ac:dyDescent="0.2">
      <c r="A55" s="30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12" x14ac:dyDescent="0.2">
      <c r="A56" s="30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</row>
    <row r="57" spans="1:12" x14ac:dyDescent="0.2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</row>
    <row r="58" spans="1:12" x14ac:dyDescent="0.2">
      <c r="A58" s="30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</row>
    <row r="59" spans="1:12" x14ac:dyDescent="0.2">
      <c r="A59" s="30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</row>
    <row r="60" spans="1:12" x14ac:dyDescent="0.2">
      <c r="A60" s="30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</row>
    <row r="61" spans="1:12" x14ac:dyDescent="0.2">
      <c r="A61" s="30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x14ac:dyDescent="0.2">
      <c r="A62" s="30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</row>
    <row r="63" spans="1:12" x14ac:dyDescent="0.2">
      <c r="A63" s="30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</row>
    <row r="64" spans="1:12" x14ac:dyDescent="0.2">
      <c r="A64" s="30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</row>
    <row r="65" spans="1:12" x14ac:dyDescent="0.2">
      <c r="A65" s="30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</row>
    <row r="66" spans="1:12" x14ac:dyDescent="0.2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</row>
    <row r="67" spans="1:12" x14ac:dyDescent="0.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1:12" x14ac:dyDescent="0.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  <row r="69" spans="1:12" x14ac:dyDescent="0.2">
      <c r="A69" s="30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</row>
    <row r="70" spans="1:12" x14ac:dyDescent="0.2">
      <c r="A70" s="30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</row>
    <row r="71" spans="1:12" x14ac:dyDescent="0.2">
      <c r="A71" s="30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</row>
    <row r="72" spans="1:12" x14ac:dyDescent="0.2">
      <c r="A72" s="30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</row>
    <row r="73" spans="1:12" x14ac:dyDescent="0.2">
      <c r="A73" s="30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</row>
    <row r="74" spans="1:12" x14ac:dyDescent="0.2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</row>
    <row r="75" spans="1:12" x14ac:dyDescent="0.2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</row>
    <row r="76" spans="1:12" x14ac:dyDescent="0.2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</row>
    <row r="77" spans="1:12" x14ac:dyDescent="0.2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</row>
    <row r="78" spans="1:12" x14ac:dyDescent="0.2">
      <c r="A78" s="3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</row>
    <row r="79" spans="1:12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</row>
    <row r="80" spans="1:12" x14ac:dyDescent="0.2">
      <c r="A80" s="30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</row>
    <row r="81" spans="1:12" x14ac:dyDescent="0.2">
      <c r="A81" s="30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</row>
    <row r="82" spans="1:12" x14ac:dyDescent="0.2">
      <c r="A82" s="30"/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</row>
    <row r="83" spans="1:12" x14ac:dyDescent="0.2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</row>
  </sheetData>
  <mergeCells count="26">
    <mergeCell ref="B12:L12"/>
    <mergeCell ref="B10:L10"/>
    <mergeCell ref="B8:L8"/>
    <mergeCell ref="B39:L40"/>
    <mergeCell ref="B41:L42"/>
    <mergeCell ref="B19:F19"/>
    <mergeCell ref="B29:F29"/>
    <mergeCell ref="B17:F17"/>
    <mergeCell ref="B18:F18"/>
    <mergeCell ref="B15:F15"/>
    <mergeCell ref="B16:F16"/>
    <mergeCell ref="B34:F34"/>
    <mergeCell ref="B21:F21"/>
    <mergeCell ref="B23:F23"/>
    <mergeCell ref="B20:F20"/>
    <mergeCell ref="B37:L37"/>
    <mergeCell ref="B38:L38"/>
    <mergeCell ref="B14:F14"/>
    <mergeCell ref="B25:F25"/>
    <mergeCell ref="B31:F31"/>
    <mergeCell ref="B32:F32"/>
    <mergeCell ref="B26:F26"/>
    <mergeCell ref="B27:F27"/>
    <mergeCell ref="B28:F28"/>
    <mergeCell ref="B33:F33"/>
    <mergeCell ref="B30:F30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9"/>
  <sheetViews>
    <sheetView topLeftCell="A101" zoomScale="90" zoomScaleNormal="90" workbookViewId="0">
      <selection activeCell="B48" sqref="B48:F4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62.85546875" customWidth="1"/>
    <col min="7" max="10" width="25.28515625" customWidth="1"/>
    <col min="11" max="12" width="15.7109375" customWidth="1"/>
    <col min="13" max="16" width="10.140625" customWidth="1"/>
    <col min="17" max="17" width="9.140625" customWidth="1"/>
  </cols>
  <sheetData>
    <row r="1" spans="1:16" ht="18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6" ht="15.75" customHeight="1" x14ac:dyDescent="0.25">
      <c r="B2" s="143" t="s">
        <v>10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6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1:16" ht="15.75" customHeight="1" x14ac:dyDescent="0.25">
      <c r="B4" s="143" t="s">
        <v>48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</row>
    <row r="5" spans="1:16" ht="18" x14ac:dyDescent="0.25">
      <c r="B5" s="3"/>
      <c r="C5" s="3"/>
      <c r="D5" s="3"/>
      <c r="E5" s="3"/>
      <c r="F5" s="3"/>
      <c r="G5" s="3"/>
      <c r="H5" s="3"/>
      <c r="I5" s="3"/>
      <c r="J5" s="4"/>
      <c r="K5" s="4"/>
      <c r="L5" s="4"/>
    </row>
    <row r="6" spans="1:16" ht="15.75" customHeight="1" x14ac:dyDescent="0.25">
      <c r="B6" s="143" t="s">
        <v>33</v>
      </c>
      <c r="C6" s="143"/>
      <c r="D6" s="143"/>
      <c r="E6" s="143"/>
      <c r="F6" s="143"/>
      <c r="G6" s="143"/>
      <c r="H6" s="143"/>
      <c r="I6" s="143"/>
      <c r="J6" s="143"/>
      <c r="K6" s="143"/>
      <c r="L6" s="143"/>
    </row>
    <row r="7" spans="1:16" ht="18" x14ac:dyDescent="0.25"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1:16" ht="45" customHeight="1" x14ac:dyDescent="0.25">
      <c r="A8" s="28"/>
      <c r="B8" s="158" t="s">
        <v>6</v>
      </c>
      <c r="C8" s="159"/>
      <c r="D8" s="159"/>
      <c r="E8" s="159"/>
      <c r="F8" s="160"/>
      <c r="G8" s="20" t="s">
        <v>267</v>
      </c>
      <c r="H8" s="20" t="s">
        <v>280</v>
      </c>
      <c r="I8" s="20" t="s">
        <v>281</v>
      </c>
      <c r="J8" s="20" t="s">
        <v>283</v>
      </c>
      <c r="K8" s="20" t="s">
        <v>18</v>
      </c>
      <c r="L8" s="20" t="s">
        <v>44</v>
      </c>
    </row>
    <row r="9" spans="1:16" x14ac:dyDescent="0.25">
      <c r="A9" s="28"/>
      <c r="B9" s="158">
        <v>1</v>
      </c>
      <c r="C9" s="159"/>
      <c r="D9" s="159"/>
      <c r="E9" s="159"/>
      <c r="F9" s="160"/>
      <c r="G9" s="20">
        <v>2</v>
      </c>
      <c r="H9" s="20">
        <v>3</v>
      </c>
      <c r="I9" s="20">
        <v>4</v>
      </c>
      <c r="J9" s="20">
        <v>5</v>
      </c>
      <c r="K9" s="20" t="s">
        <v>31</v>
      </c>
      <c r="L9" s="20" t="s">
        <v>32</v>
      </c>
    </row>
    <row r="10" spans="1:16" x14ac:dyDescent="0.25">
      <c r="A10" s="28"/>
      <c r="B10" s="7"/>
      <c r="C10" s="7"/>
      <c r="D10" s="7"/>
      <c r="E10" s="7"/>
      <c r="F10" s="7" t="s">
        <v>43</v>
      </c>
      <c r="G10" s="37">
        <f>G11</f>
        <v>488508.77</v>
      </c>
      <c r="H10" s="37">
        <f>H11</f>
        <v>6217536</v>
      </c>
      <c r="I10" s="37">
        <f>I11</f>
        <v>6217536</v>
      </c>
      <c r="J10" s="37">
        <f>J11</f>
        <v>452042.39</v>
      </c>
      <c r="K10" s="37">
        <f>J10/G10*100</f>
        <v>92.535163698289395</v>
      </c>
      <c r="L10" s="37">
        <f>J10/I10*100</f>
        <v>7.2704426641035935</v>
      </c>
      <c r="M10" s="105">
        <f>SAŽETAK!G19-G10</f>
        <v>0</v>
      </c>
      <c r="N10" s="105">
        <f>SAŽETAK!H19-H10</f>
        <v>0</v>
      </c>
      <c r="O10" s="105">
        <f>SAŽETAK!I19-I10</f>
        <v>0</v>
      </c>
      <c r="P10" s="105">
        <f>SAŽETAK!J19-J10</f>
        <v>0</v>
      </c>
    </row>
    <row r="11" spans="1:16" x14ac:dyDescent="0.25">
      <c r="A11" s="28"/>
      <c r="B11" s="9">
        <v>6</v>
      </c>
      <c r="C11" s="9"/>
      <c r="D11" s="38"/>
      <c r="E11" s="9"/>
      <c r="F11" s="9" t="s">
        <v>56</v>
      </c>
      <c r="G11" s="36">
        <f>G12+G27+G30+G33+G43+G39+G46</f>
        <v>488508.77</v>
      </c>
      <c r="H11" s="36">
        <f t="shared" ref="H11:I11" si="0">H12+H27+H30+H33+H43+H39+H46</f>
        <v>6217536</v>
      </c>
      <c r="I11" s="36">
        <f t="shared" si="0"/>
        <v>6217536</v>
      </c>
      <c r="J11" s="36">
        <f>J12+J27+J30+J33+J43+J39+J46</f>
        <v>452042.39</v>
      </c>
      <c r="K11" s="36">
        <f t="shared" ref="K11:K45" si="1">J11/G11*100</f>
        <v>92.535163698289395</v>
      </c>
      <c r="L11" s="36">
        <f t="shared" ref="L11:L45" si="2">J11/I11*100</f>
        <v>7.2704426641035935</v>
      </c>
    </row>
    <row r="12" spans="1:16" x14ac:dyDescent="0.25">
      <c r="A12" s="28"/>
      <c r="B12" s="9"/>
      <c r="C12" s="9">
        <v>63</v>
      </c>
      <c r="D12" s="38"/>
      <c r="E12" s="9"/>
      <c r="F12" s="9" t="s">
        <v>12</v>
      </c>
      <c r="G12" s="36">
        <f>G15+G19+G22+G13</f>
        <v>156130.99</v>
      </c>
      <c r="H12" s="36">
        <f>H15+H19+H22+H13</f>
        <v>4116002</v>
      </c>
      <c r="I12" s="36">
        <f>I15+I19+I22+I13</f>
        <v>4116002</v>
      </c>
      <c r="J12" s="36">
        <f>J15+J19+J22+J13</f>
        <v>67940.609999999986</v>
      </c>
      <c r="K12" s="36">
        <f t="shared" si="1"/>
        <v>43.515134311260049</v>
      </c>
      <c r="L12" s="36">
        <f t="shared" si="2"/>
        <v>1.6506456993947034</v>
      </c>
    </row>
    <row r="13" spans="1:16" x14ac:dyDescent="0.25">
      <c r="A13" s="28"/>
      <c r="B13" s="9"/>
      <c r="C13" s="9"/>
      <c r="D13" s="114" t="s">
        <v>288</v>
      </c>
      <c r="E13" s="9"/>
      <c r="F13" s="9"/>
      <c r="G13" s="36">
        <f>+G14</f>
        <v>0</v>
      </c>
      <c r="H13" s="36">
        <f t="shared" ref="H13:J13" si="3">+H14</f>
        <v>30000</v>
      </c>
      <c r="I13" s="36">
        <f t="shared" si="3"/>
        <v>30000</v>
      </c>
      <c r="J13" s="36">
        <f t="shared" si="3"/>
        <v>20912.96</v>
      </c>
      <c r="K13" s="36" t="e">
        <f t="shared" si="1"/>
        <v>#DIV/0!</v>
      </c>
      <c r="L13" s="36">
        <f t="shared" si="2"/>
        <v>69.70986666666667</v>
      </c>
    </row>
    <row r="14" spans="1:16" x14ac:dyDescent="0.25">
      <c r="A14" s="28"/>
      <c r="B14" s="9"/>
      <c r="C14" s="9"/>
      <c r="D14" s="38"/>
      <c r="E14" s="9">
        <v>6311</v>
      </c>
      <c r="F14" s="9" t="s">
        <v>289</v>
      </c>
      <c r="G14" s="36">
        <v>0</v>
      </c>
      <c r="H14" s="36">
        <v>30000</v>
      </c>
      <c r="I14" s="36">
        <f>+H14</f>
        <v>30000</v>
      </c>
      <c r="J14" s="36">
        <v>20912.96</v>
      </c>
      <c r="K14" s="36" t="e">
        <f t="shared" si="1"/>
        <v>#DIV/0!</v>
      </c>
      <c r="L14" s="36">
        <f t="shared" si="2"/>
        <v>69.70986666666667</v>
      </c>
    </row>
    <row r="15" spans="1:16" x14ac:dyDescent="0.25">
      <c r="A15" s="28"/>
      <c r="B15" s="9"/>
      <c r="C15" s="38"/>
      <c r="D15" s="9" t="s">
        <v>57</v>
      </c>
      <c r="E15" s="9"/>
      <c r="F15" s="9" t="s">
        <v>58</v>
      </c>
      <c r="G15" s="36">
        <f>G18+G17+G16</f>
        <v>0</v>
      </c>
      <c r="H15" s="36">
        <f t="shared" ref="H15:K15" si="4">H18+H17+H16</f>
        <v>0</v>
      </c>
      <c r="I15" s="36">
        <f t="shared" si="4"/>
        <v>0</v>
      </c>
      <c r="J15" s="36">
        <f t="shared" si="4"/>
        <v>0</v>
      </c>
      <c r="K15" s="36" t="e">
        <f t="shared" si="4"/>
        <v>#DIV/0!</v>
      </c>
      <c r="L15" s="36" t="e">
        <f t="shared" si="2"/>
        <v>#DIV/0!</v>
      </c>
    </row>
    <row r="16" spans="1:16" x14ac:dyDescent="0.25">
      <c r="A16" s="28"/>
      <c r="B16" s="9"/>
      <c r="C16" s="38"/>
      <c r="D16" s="9"/>
      <c r="E16" s="9">
        <v>6321</v>
      </c>
      <c r="F16" s="9" t="s">
        <v>269</v>
      </c>
      <c r="G16" s="36">
        <v>0</v>
      </c>
      <c r="H16" s="36">
        <v>0</v>
      </c>
      <c r="I16" s="36">
        <f>+H16</f>
        <v>0</v>
      </c>
      <c r="J16" s="36">
        <v>0</v>
      </c>
      <c r="K16" s="36" t="e">
        <f t="shared" ref="K16:L16" si="5">K19+K18+K17</f>
        <v>#DIV/0!</v>
      </c>
      <c r="L16" s="36" t="e">
        <f t="shared" si="5"/>
        <v>#DIV/0!</v>
      </c>
    </row>
    <row r="17" spans="1:14" x14ac:dyDescent="0.25">
      <c r="A17" s="28"/>
      <c r="B17" s="9"/>
      <c r="C17" s="38"/>
      <c r="D17" s="9"/>
      <c r="E17" s="9">
        <v>6323</v>
      </c>
      <c r="F17" s="9" t="s">
        <v>252</v>
      </c>
      <c r="G17" s="36">
        <v>0</v>
      </c>
      <c r="H17" s="36">
        <v>0</v>
      </c>
      <c r="I17" s="36">
        <f>+H17</f>
        <v>0</v>
      </c>
      <c r="J17" s="36">
        <v>0</v>
      </c>
      <c r="K17" s="36" t="e">
        <f t="shared" ref="K17:L17" si="6">K20+K19+K18</f>
        <v>#DIV/0!</v>
      </c>
      <c r="L17" s="36" t="e">
        <f t="shared" si="6"/>
        <v>#DIV/0!</v>
      </c>
    </row>
    <row r="18" spans="1:14" x14ac:dyDescent="0.25">
      <c r="A18" s="28"/>
      <c r="B18" s="9"/>
      <c r="C18" s="38"/>
      <c r="D18" s="38"/>
      <c r="E18" s="9" t="s">
        <v>59</v>
      </c>
      <c r="F18" s="9" t="s">
        <v>60</v>
      </c>
      <c r="G18" s="36">
        <v>0</v>
      </c>
      <c r="H18" s="36">
        <v>0</v>
      </c>
      <c r="I18" s="36">
        <f>+H18</f>
        <v>0</v>
      </c>
      <c r="J18" s="39">
        <v>0</v>
      </c>
      <c r="K18" s="36" t="e">
        <f t="shared" ref="K18:L18" si="7">K21+K20+K19</f>
        <v>#DIV/0!</v>
      </c>
      <c r="L18" s="36" t="e">
        <f t="shared" si="7"/>
        <v>#DIV/0!</v>
      </c>
    </row>
    <row r="19" spans="1:14" x14ac:dyDescent="0.25">
      <c r="A19" s="28"/>
      <c r="B19" s="9"/>
      <c r="C19" s="38"/>
      <c r="D19" s="9" t="s">
        <v>61</v>
      </c>
      <c r="E19" s="9"/>
      <c r="F19" s="9" t="s">
        <v>62</v>
      </c>
      <c r="G19" s="36">
        <f>G20+G21</f>
        <v>49421.5</v>
      </c>
      <c r="H19" s="36">
        <f t="shared" ref="H19:J19" si="8">H20+H21</f>
        <v>420670</v>
      </c>
      <c r="I19" s="36">
        <f t="shared" si="8"/>
        <v>420670</v>
      </c>
      <c r="J19" s="36">
        <f t="shared" si="8"/>
        <v>22224.71</v>
      </c>
      <c r="K19" s="36">
        <f t="shared" si="1"/>
        <v>44.969719656424836</v>
      </c>
      <c r="L19" s="36">
        <f t="shared" si="2"/>
        <v>5.2831697054698461</v>
      </c>
    </row>
    <row r="20" spans="1:14" x14ac:dyDescent="0.25">
      <c r="A20" s="28"/>
      <c r="B20" s="9"/>
      <c r="C20" s="38"/>
      <c r="D20" s="38"/>
      <c r="E20" s="9" t="s">
        <v>63</v>
      </c>
      <c r="F20" s="9" t="s">
        <v>64</v>
      </c>
      <c r="G20" s="39">
        <v>49421.5</v>
      </c>
      <c r="H20" s="36">
        <v>420670</v>
      </c>
      <c r="I20" s="36">
        <f>+H20</f>
        <v>420670</v>
      </c>
      <c r="J20" s="39">
        <v>22224.71</v>
      </c>
      <c r="K20" s="36">
        <f t="shared" si="1"/>
        <v>44.969719656424836</v>
      </c>
      <c r="L20" s="36">
        <f t="shared" si="2"/>
        <v>5.2831697054698461</v>
      </c>
    </row>
    <row r="21" spans="1:14" x14ac:dyDescent="0.25">
      <c r="A21" s="28"/>
      <c r="B21" s="9"/>
      <c r="C21" s="38"/>
      <c r="D21" s="38"/>
      <c r="E21" s="9" t="s">
        <v>65</v>
      </c>
      <c r="F21" s="9" t="s">
        <v>66</v>
      </c>
      <c r="G21" s="36">
        <v>0</v>
      </c>
      <c r="H21" s="36">
        <v>0</v>
      </c>
      <c r="I21" s="36">
        <v>0</v>
      </c>
      <c r="J21" s="39">
        <v>0</v>
      </c>
      <c r="K21" s="36" t="e">
        <f t="shared" si="1"/>
        <v>#DIV/0!</v>
      </c>
      <c r="L21" s="36" t="e">
        <f>J21/I21*100</f>
        <v>#DIV/0!</v>
      </c>
    </row>
    <row r="22" spans="1:14" x14ac:dyDescent="0.25">
      <c r="A22" s="28"/>
      <c r="B22" s="9"/>
      <c r="C22" s="38"/>
      <c r="D22" s="9" t="s">
        <v>67</v>
      </c>
      <c r="E22" s="9"/>
      <c r="F22" s="9" t="s">
        <v>68</v>
      </c>
      <c r="G22" s="36">
        <f>G23+G24+G25+G26</f>
        <v>106709.48999999999</v>
      </c>
      <c r="H22" s="36">
        <f>H23+H24+H25+H26</f>
        <v>3665332</v>
      </c>
      <c r="I22" s="36">
        <f>I23+I24+I25+I26</f>
        <v>3665332</v>
      </c>
      <c r="J22" s="36">
        <f t="shared" ref="J22" si="9">J23+J24+J25</f>
        <v>24802.94</v>
      </c>
      <c r="K22" s="36">
        <f t="shared" si="1"/>
        <v>23.243424741323381</v>
      </c>
      <c r="L22" s="36">
        <f t="shared" si="2"/>
        <v>0.67669013339037221</v>
      </c>
    </row>
    <row r="23" spans="1:14" x14ac:dyDescent="0.25">
      <c r="A23" s="28"/>
      <c r="B23" s="9"/>
      <c r="C23" s="38"/>
      <c r="D23" s="38"/>
      <c r="E23" s="9" t="s">
        <v>69</v>
      </c>
      <c r="F23" s="9" t="s">
        <v>70</v>
      </c>
      <c r="G23" s="36">
        <v>77628.899999999994</v>
      </c>
      <c r="H23" s="36">
        <v>20000</v>
      </c>
      <c r="I23" s="36">
        <f>+H23</f>
        <v>20000</v>
      </c>
      <c r="J23" s="39">
        <v>24802.94</v>
      </c>
      <c r="K23" s="36">
        <f t="shared" si="1"/>
        <v>31.950652398784474</v>
      </c>
      <c r="L23" s="36">
        <f t="shared" si="2"/>
        <v>124.01469999999999</v>
      </c>
    </row>
    <row r="24" spans="1:14" x14ac:dyDescent="0.25">
      <c r="A24" s="28"/>
      <c r="B24" s="9"/>
      <c r="C24" s="38"/>
      <c r="D24" s="38"/>
      <c r="E24" s="9" t="s">
        <v>71</v>
      </c>
      <c r="F24" s="9" t="s">
        <v>72</v>
      </c>
      <c r="G24" s="36">
        <v>24280.39</v>
      </c>
      <c r="H24" s="36">
        <v>80000</v>
      </c>
      <c r="I24" s="36">
        <f>+H24</f>
        <v>80000</v>
      </c>
      <c r="J24" s="39">
        <v>0</v>
      </c>
      <c r="K24" s="36">
        <f t="shared" si="1"/>
        <v>0</v>
      </c>
      <c r="L24" s="36">
        <f t="shared" si="2"/>
        <v>0</v>
      </c>
    </row>
    <row r="25" spans="1:14" ht="25.5" x14ac:dyDescent="0.25">
      <c r="A25" s="28"/>
      <c r="B25" s="9"/>
      <c r="C25" s="38"/>
      <c r="D25" s="38"/>
      <c r="E25" s="9" t="s">
        <v>253</v>
      </c>
      <c r="F25" s="9" t="s">
        <v>254</v>
      </c>
      <c r="G25" s="36">
        <v>4800.2</v>
      </c>
      <c r="H25" s="36">
        <v>7548</v>
      </c>
      <c r="I25" s="36">
        <f>+H25</f>
        <v>7548</v>
      </c>
      <c r="J25" s="39">
        <v>0</v>
      </c>
      <c r="K25" s="36">
        <f t="shared" si="1"/>
        <v>0</v>
      </c>
      <c r="L25" s="36">
        <f t="shared" si="2"/>
        <v>0</v>
      </c>
      <c r="N25" s="105"/>
    </row>
    <row r="26" spans="1:14" ht="25.5" x14ac:dyDescent="0.25">
      <c r="A26" s="28"/>
      <c r="B26" s="9"/>
      <c r="C26" s="38"/>
      <c r="D26" s="38"/>
      <c r="E26" s="9">
        <v>6394</v>
      </c>
      <c r="F26" s="9" t="s">
        <v>287</v>
      </c>
      <c r="G26" s="36">
        <v>0</v>
      </c>
      <c r="H26" s="36">
        <v>3557784</v>
      </c>
      <c r="I26" s="36">
        <f>+H26</f>
        <v>3557784</v>
      </c>
      <c r="J26" s="39">
        <v>0</v>
      </c>
      <c r="K26" s="36" t="e">
        <f t="shared" ref="K26:K27" si="10">J26/G26*100</f>
        <v>#DIV/0!</v>
      </c>
      <c r="L26" s="36">
        <f t="shared" ref="L26:L27" si="11">J26/I26*100</f>
        <v>0</v>
      </c>
      <c r="N26" s="105"/>
    </row>
    <row r="27" spans="1:14" x14ac:dyDescent="0.25">
      <c r="A27" s="28"/>
      <c r="B27" s="9"/>
      <c r="C27" s="9" t="s">
        <v>73</v>
      </c>
      <c r="D27" s="38"/>
      <c r="E27" s="9"/>
      <c r="F27" s="9" t="s">
        <v>74</v>
      </c>
      <c r="G27" s="36">
        <f>G28</f>
        <v>1.47</v>
      </c>
      <c r="H27" s="36">
        <f t="shared" ref="H27:J28" si="12">H28</f>
        <v>10</v>
      </c>
      <c r="I27" s="36">
        <f t="shared" si="12"/>
        <v>10</v>
      </c>
      <c r="J27" s="36">
        <f>J28</f>
        <v>3.1</v>
      </c>
      <c r="K27" s="36">
        <f t="shared" si="10"/>
        <v>210.88435374149662</v>
      </c>
      <c r="L27" s="36">
        <f t="shared" si="11"/>
        <v>31</v>
      </c>
    </row>
    <row r="28" spans="1:14" x14ac:dyDescent="0.25">
      <c r="A28" s="28"/>
      <c r="B28" s="9"/>
      <c r="C28" s="38"/>
      <c r="D28" s="9" t="s">
        <v>75</v>
      </c>
      <c r="E28" s="9"/>
      <c r="F28" s="9" t="s">
        <v>76</v>
      </c>
      <c r="G28" s="36">
        <f>G29</f>
        <v>1.47</v>
      </c>
      <c r="H28" s="36">
        <f t="shared" si="12"/>
        <v>10</v>
      </c>
      <c r="I28" s="36">
        <f t="shared" si="12"/>
        <v>10</v>
      </c>
      <c r="J28" s="36">
        <f t="shared" si="12"/>
        <v>3.1</v>
      </c>
      <c r="K28" s="36">
        <f t="shared" si="1"/>
        <v>210.88435374149662</v>
      </c>
      <c r="L28" s="36">
        <f t="shared" si="2"/>
        <v>31</v>
      </c>
    </row>
    <row r="29" spans="1:14" x14ac:dyDescent="0.25">
      <c r="A29" s="28"/>
      <c r="B29" s="9"/>
      <c r="C29" s="38"/>
      <c r="D29" s="38"/>
      <c r="E29" s="9" t="s">
        <v>77</v>
      </c>
      <c r="F29" s="9" t="s">
        <v>78</v>
      </c>
      <c r="G29" s="36">
        <v>1.47</v>
      </c>
      <c r="H29" s="36">
        <v>10</v>
      </c>
      <c r="I29" s="36">
        <f>+H29</f>
        <v>10</v>
      </c>
      <c r="J29" s="39">
        <v>3.1</v>
      </c>
      <c r="K29" s="36">
        <f t="shared" si="1"/>
        <v>210.88435374149662</v>
      </c>
      <c r="L29" s="36">
        <f t="shared" si="2"/>
        <v>31</v>
      </c>
      <c r="N29" s="105"/>
    </row>
    <row r="30" spans="1:14" ht="25.5" x14ac:dyDescent="0.25">
      <c r="A30" s="28"/>
      <c r="B30" s="9"/>
      <c r="C30" s="9">
        <v>65</v>
      </c>
      <c r="D30" s="38"/>
      <c r="E30" s="9"/>
      <c r="F30" s="9" t="s">
        <v>79</v>
      </c>
      <c r="G30" s="36">
        <f>G31</f>
        <v>895.5</v>
      </c>
      <c r="H30" s="36">
        <f t="shared" ref="H30:J31" si="13">H31</f>
        <v>5150</v>
      </c>
      <c r="I30" s="36">
        <f t="shared" si="13"/>
        <v>5150</v>
      </c>
      <c r="J30" s="36">
        <f>J31</f>
        <v>800.5</v>
      </c>
      <c r="K30" s="36">
        <f t="shared" si="1"/>
        <v>89.391401451702961</v>
      </c>
      <c r="L30" s="36">
        <f t="shared" si="2"/>
        <v>15.543689320388349</v>
      </c>
    </row>
    <row r="31" spans="1:14" x14ac:dyDescent="0.25">
      <c r="A31" s="28"/>
      <c r="B31" s="9"/>
      <c r="C31" s="38"/>
      <c r="D31" s="9">
        <v>652</v>
      </c>
      <c r="E31" s="9"/>
      <c r="F31" s="9" t="s">
        <v>80</v>
      </c>
      <c r="G31" s="36">
        <f>G32</f>
        <v>895.5</v>
      </c>
      <c r="H31" s="36">
        <f t="shared" si="13"/>
        <v>5150</v>
      </c>
      <c r="I31" s="36">
        <f t="shared" si="13"/>
        <v>5150</v>
      </c>
      <c r="J31" s="36">
        <f t="shared" si="13"/>
        <v>800.5</v>
      </c>
      <c r="K31" s="36">
        <f t="shared" si="1"/>
        <v>89.391401451702961</v>
      </c>
      <c r="L31" s="36">
        <f t="shared" si="2"/>
        <v>15.543689320388349</v>
      </c>
    </row>
    <row r="32" spans="1:14" x14ac:dyDescent="0.25">
      <c r="A32" s="28"/>
      <c r="B32" s="9"/>
      <c r="C32" s="38"/>
      <c r="D32" s="38"/>
      <c r="E32" s="9">
        <v>6526</v>
      </c>
      <c r="F32" s="9" t="s">
        <v>81</v>
      </c>
      <c r="G32" s="36">
        <v>895.5</v>
      </c>
      <c r="H32" s="36">
        <v>5150</v>
      </c>
      <c r="I32" s="36">
        <f>+H32</f>
        <v>5150</v>
      </c>
      <c r="J32" s="39">
        <v>800.5</v>
      </c>
      <c r="K32" s="36">
        <f t="shared" si="1"/>
        <v>89.391401451702961</v>
      </c>
      <c r="L32" s="36">
        <f t="shared" si="2"/>
        <v>15.543689320388349</v>
      </c>
      <c r="N32" s="105"/>
    </row>
    <row r="33" spans="1:15" ht="25.5" x14ac:dyDescent="0.25">
      <c r="A33" s="28"/>
      <c r="B33" s="9"/>
      <c r="C33" s="9">
        <v>66</v>
      </c>
      <c r="D33" s="38"/>
      <c r="E33" s="9"/>
      <c r="F33" s="9" t="s">
        <v>82</v>
      </c>
      <c r="G33" s="36">
        <f>G34+G37</f>
        <v>34988.79</v>
      </c>
      <c r="H33" s="36">
        <f t="shared" ref="H33:I33" si="14">H34+H37</f>
        <v>29990</v>
      </c>
      <c r="I33" s="36">
        <f t="shared" si="14"/>
        <v>29990</v>
      </c>
      <c r="J33" s="36">
        <f>J34+J37</f>
        <v>14866.04</v>
      </c>
      <c r="K33" s="36">
        <f t="shared" si="1"/>
        <v>42.488008302087614</v>
      </c>
      <c r="L33" s="36">
        <f t="shared" si="2"/>
        <v>49.569989996665562</v>
      </c>
    </row>
    <row r="34" spans="1:15" x14ac:dyDescent="0.25">
      <c r="A34" s="28"/>
      <c r="B34" s="9"/>
      <c r="C34" s="38"/>
      <c r="D34" s="9" t="s">
        <v>83</v>
      </c>
      <c r="E34" s="9"/>
      <c r="F34" s="9" t="s">
        <v>25</v>
      </c>
      <c r="G34" s="36">
        <f>G35+G36</f>
        <v>19135.53</v>
      </c>
      <c r="H34" s="36">
        <f t="shared" ref="H34:J34" si="15">H35+H36</f>
        <v>29990</v>
      </c>
      <c r="I34" s="36">
        <f t="shared" si="15"/>
        <v>29990</v>
      </c>
      <c r="J34" s="36">
        <f t="shared" si="15"/>
        <v>14866.04</v>
      </c>
      <c r="K34" s="36">
        <f t="shared" si="1"/>
        <v>77.688153921004542</v>
      </c>
      <c r="L34" s="36">
        <f t="shared" si="2"/>
        <v>49.569989996665562</v>
      </c>
    </row>
    <row r="35" spans="1:15" x14ac:dyDescent="0.25">
      <c r="A35" s="28"/>
      <c r="B35" s="9"/>
      <c r="C35" s="38"/>
      <c r="D35" s="38"/>
      <c r="E35" s="9" t="s">
        <v>84</v>
      </c>
      <c r="F35" s="9" t="s">
        <v>26</v>
      </c>
      <c r="G35" s="36">
        <v>5479.02</v>
      </c>
      <c r="H35" s="36">
        <v>14990</v>
      </c>
      <c r="I35" s="36">
        <f>+H35</f>
        <v>14990</v>
      </c>
      <c r="J35" s="39">
        <v>3856.04</v>
      </c>
      <c r="K35" s="36">
        <f t="shared" si="1"/>
        <v>70.378279327324961</v>
      </c>
      <c r="L35" s="36">
        <f t="shared" si="2"/>
        <v>25.724082721814547</v>
      </c>
    </row>
    <row r="36" spans="1:15" x14ac:dyDescent="0.25">
      <c r="A36" s="28"/>
      <c r="B36" s="9"/>
      <c r="C36" s="38"/>
      <c r="D36" s="38"/>
      <c r="E36" s="9" t="s">
        <v>85</v>
      </c>
      <c r="F36" s="9" t="s">
        <v>86</v>
      </c>
      <c r="G36" s="36">
        <v>13656.51</v>
      </c>
      <c r="H36" s="36">
        <v>15000</v>
      </c>
      <c r="I36" s="36">
        <f>+H36</f>
        <v>15000</v>
      </c>
      <c r="J36" s="39">
        <v>11010</v>
      </c>
      <c r="K36" s="36">
        <f t="shared" si="1"/>
        <v>80.620890696085596</v>
      </c>
      <c r="L36" s="36">
        <f t="shared" si="2"/>
        <v>73.400000000000006</v>
      </c>
      <c r="N36" s="105"/>
    </row>
    <row r="37" spans="1:15" x14ac:dyDescent="0.25">
      <c r="A37" s="28"/>
      <c r="B37" s="9"/>
      <c r="C37" s="38"/>
      <c r="D37" s="92">
        <v>663</v>
      </c>
      <c r="E37" s="9"/>
      <c r="F37" s="9" t="s">
        <v>259</v>
      </c>
      <c r="G37" s="36">
        <f>+G38</f>
        <v>15853.26</v>
      </c>
      <c r="H37" s="36">
        <f t="shared" ref="H37:K37" si="16">+H38</f>
        <v>0</v>
      </c>
      <c r="I37" s="36">
        <f t="shared" si="16"/>
        <v>0</v>
      </c>
      <c r="J37" s="36">
        <f>+J38</f>
        <v>0</v>
      </c>
      <c r="K37" s="36">
        <f t="shared" si="16"/>
        <v>0</v>
      </c>
      <c r="L37" s="36" t="e">
        <f t="shared" si="2"/>
        <v>#DIV/0!</v>
      </c>
    </row>
    <row r="38" spans="1:15" x14ac:dyDescent="0.25">
      <c r="A38" s="28"/>
      <c r="B38" s="9"/>
      <c r="C38" s="38"/>
      <c r="D38" s="38"/>
      <c r="E38" s="9">
        <v>6631</v>
      </c>
      <c r="F38" s="9" t="s">
        <v>260</v>
      </c>
      <c r="G38" s="36">
        <v>15853.26</v>
      </c>
      <c r="H38" s="36">
        <v>0</v>
      </c>
      <c r="I38" s="36">
        <v>0</v>
      </c>
      <c r="J38" s="39">
        <v>0</v>
      </c>
      <c r="K38" s="36"/>
      <c r="L38" s="36" t="e">
        <f t="shared" si="2"/>
        <v>#DIV/0!</v>
      </c>
      <c r="N38" s="105"/>
    </row>
    <row r="39" spans="1:15" x14ac:dyDescent="0.25">
      <c r="A39" s="28"/>
      <c r="B39" s="9"/>
      <c r="C39" s="92">
        <v>67</v>
      </c>
      <c r="D39" s="38"/>
      <c r="E39" s="9"/>
      <c r="F39" s="9" t="s">
        <v>255</v>
      </c>
      <c r="G39" s="36">
        <f>+G40</f>
        <v>296492.02</v>
      </c>
      <c r="H39" s="36">
        <f>+H40</f>
        <v>2062324</v>
      </c>
      <c r="I39" s="36">
        <f>+I40</f>
        <v>2062324</v>
      </c>
      <c r="J39" s="36">
        <f>+J40</f>
        <v>361196.79</v>
      </c>
      <c r="K39" s="36">
        <f t="shared" si="1"/>
        <v>121.8234440171442</v>
      </c>
      <c r="L39" s="36">
        <f t="shared" si="2"/>
        <v>17.514066170010143</v>
      </c>
    </row>
    <row r="40" spans="1:15" ht="25.5" x14ac:dyDescent="0.25">
      <c r="A40" s="28"/>
      <c r="B40" s="9"/>
      <c r="C40" s="38"/>
      <c r="D40" s="9" t="s">
        <v>87</v>
      </c>
      <c r="E40" s="9"/>
      <c r="F40" s="9" t="s">
        <v>88</v>
      </c>
      <c r="G40" s="36">
        <f>G41+G42</f>
        <v>296492.02</v>
      </c>
      <c r="H40" s="36">
        <f>H41+H42</f>
        <v>2062324</v>
      </c>
      <c r="I40" s="36">
        <f>I41+I42</f>
        <v>2062324</v>
      </c>
      <c r="J40" s="36">
        <f>J41+J42</f>
        <v>361196.79</v>
      </c>
      <c r="K40" s="36">
        <f t="shared" si="1"/>
        <v>121.8234440171442</v>
      </c>
      <c r="L40" s="36">
        <f>J40/I40*100</f>
        <v>17.514066170010143</v>
      </c>
    </row>
    <row r="41" spans="1:15" x14ac:dyDescent="0.25">
      <c r="A41" s="28"/>
      <c r="B41" s="9"/>
      <c r="C41" s="38"/>
      <c r="D41" s="38"/>
      <c r="E41" s="9" t="s">
        <v>89</v>
      </c>
      <c r="F41" s="9" t="s">
        <v>90</v>
      </c>
      <c r="G41" s="36">
        <v>296492.02</v>
      </c>
      <c r="H41" s="36">
        <f>800000+231699</f>
        <v>1031699</v>
      </c>
      <c r="I41" s="36">
        <f>+H41</f>
        <v>1031699</v>
      </c>
      <c r="J41" s="39">
        <v>352946.79</v>
      </c>
      <c r="K41" s="36">
        <f>J41/G41*100</f>
        <v>119.0409070706186</v>
      </c>
      <c r="L41" s="36">
        <f t="shared" si="2"/>
        <v>34.210248337935774</v>
      </c>
      <c r="N41" s="105"/>
    </row>
    <row r="42" spans="1:15" ht="25.5" x14ac:dyDescent="0.25">
      <c r="A42" s="28"/>
      <c r="B42" s="9"/>
      <c r="C42" s="38"/>
      <c r="D42" s="38"/>
      <c r="E42" s="9">
        <v>6712</v>
      </c>
      <c r="F42" s="9" t="s">
        <v>286</v>
      </c>
      <c r="G42" s="36">
        <v>0</v>
      </c>
      <c r="H42" s="36">
        <v>1030625</v>
      </c>
      <c r="I42" s="36">
        <f>+H42</f>
        <v>1030625</v>
      </c>
      <c r="J42" s="39">
        <v>8250</v>
      </c>
      <c r="K42" s="36" t="e">
        <f t="shared" ref="K42" si="17">J42/G42*100</f>
        <v>#DIV/0!</v>
      </c>
      <c r="L42" s="36">
        <f t="shared" ref="L42" si="18">J42/I42*100</f>
        <v>0.80048514251061242</v>
      </c>
      <c r="N42" s="105"/>
    </row>
    <row r="43" spans="1:15" x14ac:dyDescent="0.25">
      <c r="A43" s="28"/>
      <c r="B43" s="9"/>
      <c r="C43" s="9" t="s">
        <v>91</v>
      </c>
      <c r="D43" s="38"/>
      <c r="E43" s="9"/>
      <c r="F43" s="9" t="s">
        <v>92</v>
      </c>
      <c r="G43" s="36">
        <f>G44</f>
        <v>0</v>
      </c>
      <c r="H43" s="36">
        <f t="shared" ref="H43:I44" si="19">H44</f>
        <v>4060</v>
      </c>
      <c r="I43" s="36">
        <f t="shared" si="19"/>
        <v>4060</v>
      </c>
      <c r="J43" s="36">
        <f>J44</f>
        <v>7235.35</v>
      </c>
      <c r="K43" s="36" t="e">
        <f t="shared" si="1"/>
        <v>#DIV/0!</v>
      </c>
      <c r="L43" s="36">
        <f t="shared" si="2"/>
        <v>178.21059113300493</v>
      </c>
      <c r="N43" s="105"/>
      <c r="O43" s="105"/>
    </row>
    <row r="44" spans="1:15" x14ac:dyDescent="0.25">
      <c r="A44" s="28"/>
      <c r="B44" s="9"/>
      <c r="C44" s="38"/>
      <c r="D44" s="9" t="s">
        <v>93</v>
      </c>
      <c r="E44" s="9"/>
      <c r="F44" s="9" t="s">
        <v>94</v>
      </c>
      <c r="G44" s="36">
        <f>G45</f>
        <v>0</v>
      </c>
      <c r="H44" s="36">
        <f t="shared" si="19"/>
        <v>4060</v>
      </c>
      <c r="I44" s="36">
        <f t="shared" si="19"/>
        <v>4060</v>
      </c>
      <c r="J44" s="36">
        <f>J45</f>
        <v>7235.35</v>
      </c>
      <c r="K44" s="36" t="e">
        <f t="shared" si="1"/>
        <v>#DIV/0!</v>
      </c>
      <c r="L44" s="36">
        <f t="shared" si="2"/>
        <v>178.21059113300493</v>
      </c>
    </row>
    <row r="45" spans="1:15" x14ac:dyDescent="0.25">
      <c r="A45" s="28"/>
      <c r="B45" s="9"/>
      <c r="C45" s="38"/>
      <c r="D45" s="38"/>
      <c r="E45" s="9" t="s">
        <v>95</v>
      </c>
      <c r="F45" s="9" t="s">
        <v>94</v>
      </c>
      <c r="G45" s="36">
        <v>0</v>
      </c>
      <c r="H45" s="36">
        <v>4060</v>
      </c>
      <c r="I45" s="36">
        <f>+H45</f>
        <v>4060</v>
      </c>
      <c r="J45" s="39">
        <v>7235.35</v>
      </c>
      <c r="K45" s="36" t="e">
        <f t="shared" si="1"/>
        <v>#DIV/0!</v>
      </c>
      <c r="L45" s="36">
        <f t="shared" si="2"/>
        <v>178.21059113300493</v>
      </c>
    </row>
    <row r="46" spans="1:15" x14ac:dyDescent="0.25">
      <c r="A46" s="28"/>
      <c r="B46" s="111"/>
      <c r="C46" s="113">
        <v>72</v>
      </c>
      <c r="D46" s="112">
        <v>723</v>
      </c>
      <c r="E46" s="9"/>
      <c r="F46" s="9" t="s">
        <v>261</v>
      </c>
      <c r="G46" s="36">
        <f>+G47</f>
        <v>0</v>
      </c>
      <c r="H46" s="36">
        <f>+H47</f>
        <v>0</v>
      </c>
      <c r="I46" s="36">
        <f>+I47</f>
        <v>0</v>
      </c>
      <c r="J46" s="39">
        <f>+J47</f>
        <v>0</v>
      </c>
      <c r="K46" s="36" t="e">
        <f t="shared" ref="K46:K47" si="20">J46/G46*100</f>
        <v>#DIV/0!</v>
      </c>
      <c r="L46" s="36" t="e">
        <f t="shared" ref="L46:L47" si="21">J46/I46*100</f>
        <v>#DIV/0!</v>
      </c>
    </row>
    <row r="47" spans="1:15" ht="18" x14ac:dyDescent="0.25">
      <c r="A47" s="28"/>
      <c r="B47" s="130"/>
      <c r="C47" s="130"/>
      <c r="D47" s="131"/>
      <c r="E47" s="110">
        <v>7231</v>
      </c>
      <c r="F47" s="9" t="s">
        <v>98</v>
      </c>
      <c r="G47" s="36">
        <v>0</v>
      </c>
      <c r="H47" s="36">
        <v>0</v>
      </c>
      <c r="I47" s="36">
        <v>0</v>
      </c>
      <c r="J47" s="39">
        <v>0</v>
      </c>
      <c r="K47" s="36" t="e">
        <f t="shared" si="20"/>
        <v>#DIV/0!</v>
      </c>
      <c r="L47" s="36" t="e">
        <f t="shared" si="21"/>
        <v>#DIV/0!</v>
      </c>
      <c r="N47" s="105"/>
    </row>
    <row r="48" spans="1:15" ht="36.75" customHeight="1" x14ac:dyDescent="0.25">
      <c r="B48" s="158" t="s">
        <v>6</v>
      </c>
      <c r="C48" s="159"/>
      <c r="D48" s="159"/>
      <c r="E48" s="159"/>
      <c r="F48" s="160"/>
      <c r="G48" s="20" t="s">
        <v>267</v>
      </c>
      <c r="H48" s="20" t="s">
        <v>280</v>
      </c>
      <c r="I48" s="20" t="s">
        <v>281</v>
      </c>
      <c r="J48" s="20" t="s">
        <v>283</v>
      </c>
      <c r="K48" s="20" t="s">
        <v>18</v>
      </c>
      <c r="L48" s="20" t="s">
        <v>44</v>
      </c>
    </row>
    <row r="49" spans="2:16" x14ac:dyDescent="0.25">
      <c r="B49" s="155">
        <v>1</v>
      </c>
      <c r="C49" s="156"/>
      <c r="D49" s="156"/>
      <c r="E49" s="156"/>
      <c r="F49" s="157"/>
      <c r="G49" s="21">
        <v>2</v>
      </c>
      <c r="H49" s="21">
        <v>3</v>
      </c>
      <c r="I49" s="21">
        <v>4</v>
      </c>
      <c r="J49" s="21">
        <v>5</v>
      </c>
      <c r="K49" s="21" t="s">
        <v>31</v>
      </c>
      <c r="L49" s="21" t="s">
        <v>32</v>
      </c>
    </row>
    <row r="50" spans="2:16" x14ac:dyDescent="0.25">
      <c r="B50" s="63"/>
      <c r="C50" s="63"/>
      <c r="D50" s="63"/>
      <c r="E50" s="63"/>
      <c r="F50" s="56" t="s">
        <v>42</v>
      </c>
      <c r="G50" s="53">
        <f>G51+G101</f>
        <v>481741.76</v>
      </c>
      <c r="H50" s="53">
        <f>H51+H101</f>
        <v>6217536</v>
      </c>
      <c r="I50" s="53">
        <f>I51+I101</f>
        <v>6217536</v>
      </c>
      <c r="J50" s="53">
        <f>J51+J101</f>
        <v>446572.76</v>
      </c>
      <c r="K50" s="66">
        <f>J50/G50*100</f>
        <v>92.699615661303682</v>
      </c>
      <c r="L50" s="66">
        <f>J50/I50*100</f>
        <v>7.1824716414991414</v>
      </c>
      <c r="M50" s="105">
        <f>SAŽETAK!G22-G50</f>
        <v>0</v>
      </c>
      <c r="N50" s="105">
        <f>SAŽETAK!H22-H50</f>
        <v>0</v>
      </c>
      <c r="O50" s="105">
        <f>SAŽETAK!I22-I50</f>
        <v>0</v>
      </c>
      <c r="P50" s="105">
        <f>SAŽETAK!J22-J50</f>
        <v>0</v>
      </c>
    </row>
    <row r="51" spans="2:16" x14ac:dyDescent="0.25">
      <c r="B51" s="65">
        <v>3</v>
      </c>
      <c r="C51" s="65"/>
      <c r="D51" s="38"/>
      <c r="E51" s="38"/>
      <c r="F51" s="64" t="s">
        <v>3</v>
      </c>
      <c r="G51" s="54">
        <f>G52+G59+G89+G92+G97</f>
        <v>408039.87</v>
      </c>
      <c r="H51" s="54">
        <f>H52+H59+H89+H92+H97</f>
        <v>4690576</v>
      </c>
      <c r="I51" s="54">
        <f>I52+I59+I89+I92+I97</f>
        <v>4690576</v>
      </c>
      <c r="J51" s="54">
        <f>J52+J59+J89+J92+J97</f>
        <v>436025.38</v>
      </c>
      <c r="K51" s="57">
        <f t="shared" ref="K51:K116" si="22">J51/G51*100</f>
        <v>106.85852340850907</v>
      </c>
      <c r="L51" s="57">
        <f t="shared" ref="L51:L116" si="23">J51/I51*100</f>
        <v>9.2957747619908524</v>
      </c>
      <c r="M51" s="105"/>
    </row>
    <row r="52" spans="2:16" x14ac:dyDescent="0.25">
      <c r="B52" s="58"/>
      <c r="C52" s="59">
        <v>31</v>
      </c>
      <c r="D52" s="38"/>
      <c r="E52" s="38"/>
      <c r="F52" s="64" t="s">
        <v>4</v>
      </c>
      <c r="G52" s="54">
        <f>G53+G55+G57</f>
        <v>247773.49</v>
      </c>
      <c r="H52" s="54">
        <f>H53+H55+H57</f>
        <v>696678</v>
      </c>
      <c r="I52" s="54">
        <f t="shared" ref="I52" si="24">I53+I55+I57</f>
        <v>696678</v>
      </c>
      <c r="J52" s="54">
        <f>J53+J55+J57</f>
        <v>266956.69</v>
      </c>
      <c r="K52" s="57">
        <f t="shared" si="22"/>
        <v>107.74223263352347</v>
      </c>
      <c r="L52" s="57">
        <f t="shared" si="23"/>
        <v>38.318518741800375</v>
      </c>
      <c r="M52" s="105"/>
      <c r="O52" s="123"/>
    </row>
    <row r="53" spans="2:16" x14ac:dyDescent="0.25">
      <c r="B53" s="58"/>
      <c r="C53" s="38"/>
      <c r="D53" s="59">
        <v>311</v>
      </c>
      <c r="E53" s="63"/>
      <c r="F53" s="58" t="s">
        <v>27</v>
      </c>
      <c r="G53" s="49">
        <f>G54</f>
        <v>208658.06</v>
      </c>
      <c r="H53" s="49">
        <f t="shared" ref="H53:J53" si="25">H54</f>
        <v>604678</v>
      </c>
      <c r="I53" s="49">
        <f t="shared" si="25"/>
        <v>604678</v>
      </c>
      <c r="J53" s="49">
        <f t="shared" si="25"/>
        <v>222753.76</v>
      </c>
      <c r="K53" s="57">
        <f t="shared" si="22"/>
        <v>106.7554064290639</v>
      </c>
      <c r="L53" s="57">
        <f t="shared" si="23"/>
        <v>36.83840986442371</v>
      </c>
      <c r="M53" s="105"/>
      <c r="O53" s="123"/>
    </row>
    <row r="54" spans="2:16" x14ac:dyDescent="0.25">
      <c r="B54" s="58"/>
      <c r="C54" s="38"/>
      <c r="D54" s="38"/>
      <c r="E54" s="59">
        <v>3111</v>
      </c>
      <c r="F54" s="58" t="s">
        <v>28</v>
      </c>
      <c r="G54" s="49">
        <v>208658.06</v>
      </c>
      <c r="H54" s="49">
        <f>469000+24000+13002+25000+73676</f>
        <v>604678</v>
      </c>
      <c r="I54" s="49">
        <f>+H54</f>
        <v>604678</v>
      </c>
      <c r="J54" s="49">
        <f>262137.93-39384.17</f>
        <v>222753.76</v>
      </c>
      <c r="K54" s="57">
        <f t="shared" si="22"/>
        <v>106.7554064290639</v>
      </c>
      <c r="L54" s="57">
        <f t="shared" si="23"/>
        <v>36.83840986442371</v>
      </c>
      <c r="M54" s="105"/>
      <c r="O54" s="123"/>
    </row>
    <row r="55" spans="2:16" x14ac:dyDescent="0.25">
      <c r="B55" s="58"/>
      <c r="C55" s="38"/>
      <c r="D55" s="59" t="s">
        <v>148</v>
      </c>
      <c r="E55" s="63"/>
      <c r="F55" s="58" t="s">
        <v>149</v>
      </c>
      <c r="G55" s="49">
        <f>G56</f>
        <v>6555.27</v>
      </c>
      <c r="H55" s="49">
        <f t="shared" ref="H55:J55" si="26">H56</f>
        <v>16000</v>
      </c>
      <c r="I55" s="49">
        <f t="shared" si="26"/>
        <v>16000</v>
      </c>
      <c r="J55" s="49">
        <f t="shared" si="26"/>
        <v>6703.6</v>
      </c>
      <c r="K55" s="57">
        <f t="shared" si="22"/>
        <v>102.26275958122244</v>
      </c>
      <c r="L55" s="57">
        <f t="shared" si="23"/>
        <v>41.897500000000001</v>
      </c>
      <c r="M55" s="105"/>
      <c r="O55" s="123"/>
    </row>
    <row r="56" spans="2:16" x14ac:dyDescent="0.25">
      <c r="B56" s="58"/>
      <c r="C56" s="38"/>
      <c r="D56" s="38"/>
      <c r="E56" s="59" t="s">
        <v>150</v>
      </c>
      <c r="F56" s="58" t="s">
        <v>149</v>
      </c>
      <c r="G56" s="49">
        <v>6555.27</v>
      </c>
      <c r="H56" s="49">
        <f>15000+1000</f>
        <v>16000</v>
      </c>
      <c r="I56" s="49">
        <f>+H56</f>
        <v>16000</v>
      </c>
      <c r="J56" s="49">
        <v>6703.6</v>
      </c>
      <c r="K56" s="57">
        <f t="shared" si="22"/>
        <v>102.26275958122244</v>
      </c>
      <c r="L56" s="57">
        <f t="shared" si="23"/>
        <v>41.897500000000001</v>
      </c>
      <c r="M56" s="105"/>
      <c r="O56" s="123"/>
      <c r="P56" s="124"/>
    </row>
    <row r="57" spans="2:16" x14ac:dyDescent="0.25">
      <c r="B57" s="58"/>
      <c r="C57" s="38"/>
      <c r="D57" s="59">
        <v>313</v>
      </c>
      <c r="E57" s="63"/>
      <c r="F57" s="58" t="s">
        <v>151</v>
      </c>
      <c r="G57" s="60">
        <f>G58</f>
        <v>32560.16</v>
      </c>
      <c r="H57" s="60">
        <f t="shared" ref="H57:I57" si="27">H58</f>
        <v>76000</v>
      </c>
      <c r="I57" s="60">
        <f t="shared" si="27"/>
        <v>76000</v>
      </c>
      <c r="J57" s="60">
        <f>J58</f>
        <v>37499.329999999994</v>
      </c>
      <c r="K57" s="57">
        <f t="shared" si="22"/>
        <v>115.16936648959954</v>
      </c>
      <c r="L57" s="57">
        <f t="shared" si="23"/>
        <v>49.341223684210519</v>
      </c>
      <c r="M57" s="105"/>
      <c r="O57" s="123"/>
      <c r="P57" s="124"/>
    </row>
    <row r="58" spans="2:16" x14ac:dyDescent="0.25">
      <c r="B58" s="58"/>
      <c r="C58" s="38"/>
      <c r="D58" s="38"/>
      <c r="E58" s="59">
        <v>3132</v>
      </c>
      <c r="F58" s="58" t="s">
        <v>152</v>
      </c>
      <c r="G58" s="60">
        <v>32560.16</v>
      </c>
      <c r="H58" s="60">
        <f>72000+4000</f>
        <v>76000</v>
      </c>
      <c r="I58" s="60">
        <f>+H58</f>
        <v>76000</v>
      </c>
      <c r="J58" s="60">
        <f>43997.7-6498.37</f>
        <v>37499.329999999994</v>
      </c>
      <c r="K58" s="57">
        <f t="shared" si="22"/>
        <v>115.16936648959954</v>
      </c>
      <c r="L58" s="57">
        <f t="shared" si="23"/>
        <v>49.341223684210519</v>
      </c>
      <c r="M58" s="105"/>
      <c r="O58" s="123"/>
    </row>
    <row r="59" spans="2:16" x14ac:dyDescent="0.25">
      <c r="B59" s="58"/>
      <c r="C59" s="59">
        <v>32</v>
      </c>
      <c r="D59" s="38"/>
      <c r="E59" s="63"/>
      <c r="F59" s="64" t="s">
        <v>11</v>
      </c>
      <c r="G59" s="49">
        <f>G60+G64+G71+G81+G83</f>
        <v>128580.53000000001</v>
      </c>
      <c r="H59" s="49">
        <f t="shared" ref="H59:J59" si="28">H60+H64+H71+H81+H83</f>
        <v>752964</v>
      </c>
      <c r="I59" s="49">
        <f t="shared" si="28"/>
        <v>752964</v>
      </c>
      <c r="J59" s="49">
        <f t="shared" si="28"/>
        <v>167559.88</v>
      </c>
      <c r="K59" s="57">
        <f t="shared" si="22"/>
        <v>130.31512624811859</v>
      </c>
      <c r="L59" s="57">
        <f t="shared" si="23"/>
        <v>22.253372007161033</v>
      </c>
      <c r="M59" s="105"/>
      <c r="O59" s="123"/>
    </row>
    <row r="60" spans="2:16" x14ac:dyDescent="0.25">
      <c r="B60" s="58"/>
      <c r="C60" s="38"/>
      <c r="D60" s="59">
        <v>321</v>
      </c>
      <c r="E60" s="63"/>
      <c r="F60" s="58" t="s">
        <v>29</v>
      </c>
      <c r="G60" s="49">
        <f>G61+G62+G63</f>
        <v>8901.02</v>
      </c>
      <c r="H60" s="49">
        <f>H61+H62+H63</f>
        <v>26500</v>
      </c>
      <c r="I60" s="49">
        <f>I61+I62+I63</f>
        <v>26500</v>
      </c>
      <c r="J60" s="49">
        <f>J61+J62+J63</f>
        <v>10619.130000000001</v>
      </c>
      <c r="K60" s="57">
        <f t="shared" si="22"/>
        <v>119.30239455702829</v>
      </c>
      <c r="L60" s="57">
        <f t="shared" si="23"/>
        <v>40.072188679245286</v>
      </c>
      <c r="M60" s="105"/>
      <c r="O60" s="123"/>
    </row>
    <row r="61" spans="2:16" x14ac:dyDescent="0.25">
      <c r="B61" s="58"/>
      <c r="C61" s="38"/>
      <c r="D61" s="38"/>
      <c r="E61" s="59" t="s">
        <v>153</v>
      </c>
      <c r="F61" s="58" t="s">
        <v>30</v>
      </c>
      <c r="G61" s="49">
        <v>1593.2</v>
      </c>
      <c r="H61" s="49">
        <f>3000</f>
        <v>3000</v>
      </c>
      <c r="I61" s="49">
        <f>+H61</f>
        <v>3000</v>
      </c>
      <c r="J61" s="49">
        <v>1500</v>
      </c>
      <c r="K61" s="57">
        <f t="shared" si="22"/>
        <v>94.150138086869191</v>
      </c>
      <c r="L61" s="57">
        <f t="shared" si="23"/>
        <v>50</v>
      </c>
      <c r="M61" s="105"/>
      <c r="O61" s="123"/>
    </row>
    <row r="62" spans="2:16" x14ac:dyDescent="0.25">
      <c r="B62" s="58"/>
      <c r="C62" s="38"/>
      <c r="D62" s="38"/>
      <c r="E62" s="59" t="s">
        <v>154</v>
      </c>
      <c r="F62" s="61" t="s">
        <v>155</v>
      </c>
      <c r="G62" s="49">
        <v>6807.82</v>
      </c>
      <c r="H62" s="49">
        <f>22000</f>
        <v>22000</v>
      </c>
      <c r="I62" s="49">
        <f>+H62</f>
        <v>22000</v>
      </c>
      <c r="J62" s="49">
        <f>9697.62-1328.49</f>
        <v>8369.130000000001</v>
      </c>
      <c r="K62" s="57">
        <f t="shared" si="22"/>
        <v>122.93406699942126</v>
      </c>
      <c r="L62" s="57">
        <f t="shared" si="23"/>
        <v>38.041500000000006</v>
      </c>
      <c r="M62" s="105"/>
      <c r="O62" s="123"/>
    </row>
    <row r="63" spans="2:16" x14ac:dyDescent="0.25">
      <c r="B63" s="58"/>
      <c r="C63" s="38"/>
      <c r="D63" s="38"/>
      <c r="E63" s="59" t="s">
        <v>156</v>
      </c>
      <c r="F63" s="61" t="s">
        <v>157</v>
      </c>
      <c r="G63" s="49">
        <v>500</v>
      </c>
      <c r="H63" s="49">
        <f>1500</f>
        <v>1500</v>
      </c>
      <c r="I63" s="49">
        <f>+H63</f>
        <v>1500</v>
      </c>
      <c r="J63" s="49">
        <v>750</v>
      </c>
      <c r="K63" s="57">
        <f t="shared" si="22"/>
        <v>150</v>
      </c>
      <c r="L63" s="57">
        <f t="shared" si="23"/>
        <v>50</v>
      </c>
      <c r="M63" s="105"/>
    </row>
    <row r="64" spans="2:16" x14ac:dyDescent="0.25">
      <c r="B64" s="58"/>
      <c r="C64" s="38"/>
      <c r="D64" s="59">
        <v>322</v>
      </c>
      <c r="E64" s="63"/>
      <c r="F64" s="58" t="s">
        <v>158</v>
      </c>
      <c r="G64" s="62">
        <f>G65+G66+G67+G68+G69+G70</f>
        <v>38268.880000000005</v>
      </c>
      <c r="H64" s="62">
        <f t="shared" ref="H64:J64" si="29">H65+H66+H67+H68+H69+H70</f>
        <v>52300</v>
      </c>
      <c r="I64" s="62">
        <f t="shared" si="29"/>
        <v>52300</v>
      </c>
      <c r="J64" s="62">
        <f t="shared" si="29"/>
        <v>27533.5</v>
      </c>
      <c r="K64" s="57">
        <f t="shared" si="22"/>
        <v>71.947493629288331</v>
      </c>
      <c r="L64" s="57">
        <f t="shared" si="23"/>
        <v>52.6453154875717</v>
      </c>
      <c r="M64" s="105"/>
    </row>
    <row r="65" spans="2:13" x14ac:dyDescent="0.25">
      <c r="B65" s="58"/>
      <c r="C65" s="38"/>
      <c r="D65" s="38"/>
      <c r="E65" s="59" t="s">
        <v>159</v>
      </c>
      <c r="F65" s="58" t="s">
        <v>160</v>
      </c>
      <c r="G65" s="62">
        <v>8028.88</v>
      </c>
      <c r="H65" s="62">
        <f>4300+5000</f>
        <v>9300</v>
      </c>
      <c r="I65" s="62">
        <f>+H65</f>
        <v>9300</v>
      </c>
      <c r="J65" s="62">
        <v>3077.88</v>
      </c>
      <c r="K65" s="57">
        <f t="shared" si="22"/>
        <v>38.335110251990315</v>
      </c>
      <c r="L65" s="57">
        <f t="shared" si="23"/>
        <v>33.095483870967747</v>
      </c>
      <c r="M65" s="105"/>
    </row>
    <row r="66" spans="2:13" x14ac:dyDescent="0.25">
      <c r="B66" s="58"/>
      <c r="C66" s="38"/>
      <c r="D66" s="38"/>
      <c r="E66" s="59" t="s">
        <v>161</v>
      </c>
      <c r="F66" s="58" t="s">
        <v>162</v>
      </c>
      <c r="G66" s="62">
        <v>0</v>
      </c>
      <c r="H66" s="62">
        <v>0</v>
      </c>
      <c r="I66" s="62">
        <v>0</v>
      </c>
      <c r="J66" s="62">
        <v>0</v>
      </c>
      <c r="K66" s="57" t="e">
        <f t="shared" si="22"/>
        <v>#DIV/0!</v>
      </c>
      <c r="L66" s="57" t="e">
        <f t="shared" si="23"/>
        <v>#DIV/0!</v>
      </c>
      <c r="M66" s="105"/>
    </row>
    <row r="67" spans="2:13" x14ac:dyDescent="0.25">
      <c r="B67" s="58"/>
      <c r="C67" s="38"/>
      <c r="D67" s="38"/>
      <c r="E67" s="59" t="s">
        <v>163</v>
      </c>
      <c r="F67" s="58" t="s">
        <v>164</v>
      </c>
      <c r="G67" s="62">
        <v>15000</v>
      </c>
      <c r="H67" s="62">
        <v>30000</v>
      </c>
      <c r="I67" s="62">
        <f>+H67</f>
        <v>30000</v>
      </c>
      <c r="J67" s="62">
        <v>15000</v>
      </c>
      <c r="K67" s="57">
        <f t="shared" si="22"/>
        <v>100</v>
      </c>
      <c r="L67" s="57">
        <f t="shared" si="23"/>
        <v>50</v>
      </c>
      <c r="M67" s="105"/>
    </row>
    <row r="68" spans="2:13" x14ac:dyDescent="0.25">
      <c r="B68" s="58"/>
      <c r="C68" s="38"/>
      <c r="D68" s="38"/>
      <c r="E68" s="59" t="s">
        <v>165</v>
      </c>
      <c r="F68" s="61" t="s">
        <v>166</v>
      </c>
      <c r="G68" s="62">
        <v>2500</v>
      </c>
      <c r="H68" s="62">
        <v>5000</v>
      </c>
      <c r="I68" s="62">
        <f>+H68</f>
        <v>5000</v>
      </c>
      <c r="J68" s="62">
        <v>4647.28</v>
      </c>
      <c r="K68" s="57">
        <f t="shared" si="22"/>
        <v>185.8912</v>
      </c>
      <c r="L68" s="57">
        <f t="shared" si="23"/>
        <v>92.945599999999999</v>
      </c>
      <c r="M68" s="105"/>
    </row>
    <row r="69" spans="2:13" x14ac:dyDescent="0.25">
      <c r="B69" s="58"/>
      <c r="C69" s="38"/>
      <c r="D69" s="38"/>
      <c r="E69" s="59" t="s">
        <v>167</v>
      </c>
      <c r="F69" s="61" t="s">
        <v>168</v>
      </c>
      <c r="G69" s="62">
        <v>11240</v>
      </c>
      <c r="H69" s="62">
        <v>5000</v>
      </c>
      <c r="I69" s="62">
        <f>+H69</f>
        <v>5000</v>
      </c>
      <c r="J69" s="62">
        <v>3308.34</v>
      </c>
      <c r="K69" s="57">
        <f t="shared" si="22"/>
        <v>29.433629893238432</v>
      </c>
      <c r="L69" s="57">
        <f t="shared" si="23"/>
        <v>66.166800000000009</v>
      </c>
      <c r="M69" s="105"/>
    </row>
    <row r="70" spans="2:13" x14ac:dyDescent="0.25">
      <c r="B70" s="58"/>
      <c r="C70" s="38"/>
      <c r="D70" s="38"/>
      <c r="E70" s="59" t="s">
        <v>169</v>
      </c>
      <c r="F70" s="61" t="s">
        <v>170</v>
      </c>
      <c r="G70" s="62">
        <v>1500</v>
      </c>
      <c r="H70" s="62">
        <v>3000</v>
      </c>
      <c r="I70" s="62">
        <f>+H70</f>
        <v>3000</v>
      </c>
      <c r="J70" s="62">
        <v>1500</v>
      </c>
      <c r="K70" s="57">
        <f t="shared" si="22"/>
        <v>100</v>
      </c>
      <c r="L70" s="57">
        <f t="shared" si="23"/>
        <v>50</v>
      </c>
      <c r="M70" s="105"/>
    </row>
    <row r="71" spans="2:13" x14ac:dyDescent="0.25">
      <c r="B71" s="58"/>
      <c r="C71" s="38"/>
      <c r="D71" s="59">
        <v>323</v>
      </c>
      <c r="E71" s="63"/>
      <c r="F71" s="58" t="s">
        <v>171</v>
      </c>
      <c r="G71" s="62">
        <f>G72+G73+G74+G75+G76+G77+G78+G79+G80</f>
        <v>73560.63</v>
      </c>
      <c r="H71" s="62">
        <f t="shared" ref="H71:I71" si="30">H72+H73+H74+H75+H76+H77+H78+H79+H80</f>
        <v>656464</v>
      </c>
      <c r="I71" s="62">
        <f t="shared" si="30"/>
        <v>656464</v>
      </c>
      <c r="J71" s="62">
        <f>J72+J73+J74+J75+J76+J77+J78+J79+J80</f>
        <v>121057.25</v>
      </c>
      <c r="K71" s="57">
        <f t="shared" si="22"/>
        <v>164.56798969774999</v>
      </c>
      <c r="L71" s="57">
        <f t="shared" si="23"/>
        <v>18.440805588729923</v>
      </c>
      <c r="M71" s="105"/>
    </row>
    <row r="72" spans="2:13" x14ac:dyDescent="0.25">
      <c r="B72" s="58"/>
      <c r="C72" s="38"/>
      <c r="D72" s="38"/>
      <c r="E72" s="59" t="s">
        <v>172</v>
      </c>
      <c r="F72" s="58" t="s">
        <v>173</v>
      </c>
      <c r="G72" s="49">
        <v>3500</v>
      </c>
      <c r="H72" s="49">
        <f>7000+7548</f>
        <v>14548</v>
      </c>
      <c r="I72" s="49">
        <f t="shared" ref="I72:I80" si="31">+H72</f>
        <v>14548</v>
      </c>
      <c r="J72" s="49">
        <v>3500</v>
      </c>
      <c r="K72" s="57">
        <f t="shared" si="22"/>
        <v>100</v>
      </c>
      <c r="L72" s="57">
        <f t="shared" si="23"/>
        <v>24.058289799285127</v>
      </c>
      <c r="M72" s="105"/>
    </row>
    <row r="73" spans="2:13" x14ac:dyDescent="0.25">
      <c r="B73" s="58"/>
      <c r="C73" s="38"/>
      <c r="D73" s="38"/>
      <c r="E73" s="59" t="s">
        <v>174</v>
      </c>
      <c r="F73" s="58" t="s">
        <v>175</v>
      </c>
      <c r="G73" s="49">
        <v>19529.46</v>
      </c>
      <c r="H73" s="49">
        <f>65000+27887+158023</f>
        <v>250910</v>
      </c>
      <c r="I73" s="49">
        <f t="shared" si="31"/>
        <v>250910</v>
      </c>
      <c r="J73" s="49">
        <v>35997.5</v>
      </c>
      <c r="K73" s="57">
        <f t="shared" si="22"/>
        <v>184.32409293446926</v>
      </c>
      <c r="L73" s="57">
        <f t="shared" si="23"/>
        <v>14.346777729066199</v>
      </c>
      <c r="M73" s="105"/>
    </row>
    <row r="74" spans="2:13" x14ac:dyDescent="0.25">
      <c r="B74" s="58"/>
      <c r="C74" s="38"/>
      <c r="D74" s="38"/>
      <c r="E74" s="59">
        <v>3233</v>
      </c>
      <c r="F74" s="58" t="s">
        <v>176</v>
      </c>
      <c r="G74" s="49">
        <v>2500</v>
      </c>
      <c r="H74" s="49">
        <f>5000+5000+60000</f>
        <v>70000</v>
      </c>
      <c r="I74" s="49">
        <f t="shared" si="31"/>
        <v>70000</v>
      </c>
      <c r="J74" s="49">
        <v>4565</v>
      </c>
      <c r="K74" s="57">
        <f t="shared" si="22"/>
        <v>182.6</v>
      </c>
      <c r="L74" s="57">
        <f t="shared" si="23"/>
        <v>6.5214285714285714</v>
      </c>
      <c r="M74" s="105"/>
    </row>
    <row r="75" spans="2:13" x14ac:dyDescent="0.25">
      <c r="B75" s="58"/>
      <c r="C75" s="38"/>
      <c r="D75" s="38"/>
      <c r="E75" s="59" t="s">
        <v>177</v>
      </c>
      <c r="F75" s="58" t="s">
        <v>178</v>
      </c>
      <c r="G75" s="49">
        <v>1000</v>
      </c>
      <c r="H75" s="49">
        <f>4000+185946</f>
        <v>189946</v>
      </c>
      <c r="I75" s="49">
        <f t="shared" si="31"/>
        <v>189946</v>
      </c>
      <c r="J75" s="49">
        <v>31076.39</v>
      </c>
      <c r="K75" s="57">
        <f t="shared" si="22"/>
        <v>3107.6390000000001</v>
      </c>
      <c r="L75" s="57">
        <f t="shared" si="23"/>
        <v>16.360644604255945</v>
      </c>
      <c r="M75" s="105"/>
    </row>
    <row r="76" spans="2:13" x14ac:dyDescent="0.25">
      <c r="B76" s="58"/>
      <c r="C76" s="38"/>
      <c r="D76" s="38"/>
      <c r="E76" s="59">
        <v>3235</v>
      </c>
      <c r="F76" s="58" t="s">
        <v>179</v>
      </c>
      <c r="G76" s="49">
        <v>500</v>
      </c>
      <c r="H76" s="49">
        <f>8200+4060</f>
        <v>12260</v>
      </c>
      <c r="I76" s="49">
        <f t="shared" si="31"/>
        <v>12260</v>
      </c>
      <c r="J76" s="49">
        <v>11335.35</v>
      </c>
      <c r="K76" s="57">
        <f t="shared" si="22"/>
        <v>2267.0700000000002</v>
      </c>
      <c r="L76" s="57">
        <f t="shared" si="23"/>
        <v>92.457993474714513</v>
      </c>
      <c r="M76" s="105"/>
    </row>
    <row r="77" spans="2:13" x14ac:dyDescent="0.25">
      <c r="B77" s="58"/>
      <c r="C77" s="38"/>
      <c r="D77" s="38"/>
      <c r="E77" s="59">
        <v>3236</v>
      </c>
      <c r="F77" s="58" t="s">
        <v>180</v>
      </c>
      <c r="G77" s="49">
        <v>0</v>
      </c>
      <c r="H77" s="49">
        <v>2500</v>
      </c>
      <c r="I77" s="49">
        <f t="shared" si="31"/>
        <v>2500</v>
      </c>
      <c r="J77" s="49">
        <v>1250</v>
      </c>
      <c r="K77" s="57" t="e">
        <f t="shared" si="22"/>
        <v>#DIV/0!</v>
      </c>
      <c r="L77" s="57">
        <f t="shared" si="23"/>
        <v>50</v>
      </c>
      <c r="M77" s="105"/>
    </row>
    <row r="78" spans="2:13" x14ac:dyDescent="0.25">
      <c r="B78" s="58"/>
      <c r="C78" s="38"/>
      <c r="D78" s="38"/>
      <c r="E78" s="59">
        <v>3237</v>
      </c>
      <c r="F78" s="58" t="s">
        <v>181</v>
      </c>
      <c r="G78" s="49">
        <v>38602.17</v>
      </c>
      <c r="H78" s="49">
        <f>1800+18500+50000+12000+12000</f>
        <v>94300</v>
      </c>
      <c r="I78" s="49">
        <f t="shared" si="31"/>
        <v>94300</v>
      </c>
      <c r="J78" s="49">
        <v>22304.11</v>
      </c>
      <c r="K78" s="57">
        <f t="shared" si="22"/>
        <v>57.779420172492898</v>
      </c>
      <c r="L78" s="57">
        <f t="shared" si="23"/>
        <v>23.652290562036054</v>
      </c>
      <c r="M78" s="105"/>
    </row>
    <row r="79" spans="2:13" x14ac:dyDescent="0.25">
      <c r="B79" s="58"/>
      <c r="C79" s="38"/>
      <c r="D79" s="38"/>
      <c r="E79" s="59" t="s">
        <v>182</v>
      </c>
      <c r="F79" s="58" t="s">
        <v>183</v>
      </c>
      <c r="G79" s="49">
        <v>5000</v>
      </c>
      <c r="H79" s="49">
        <v>10000</v>
      </c>
      <c r="I79" s="49">
        <f t="shared" si="31"/>
        <v>10000</v>
      </c>
      <c r="J79" s="49">
        <v>5000</v>
      </c>
      <c r="K79" s="57">
        <f t="shared" si="22"/>
        <v>100</v>
      </c>
      <c r="L79" s="57">
        <f t="shared" si="23"/>
        <v>50</v>
      </c>
      <c r="M79" s="105"/>
    </row>
    <row r="80" spans="2:13" x14ac:dyDescent="0.25">
      <c r="B80" s="58"/>
      <c r="C80" s="38"/>
      <c r="D80" s="38"/>
      <c r="E80" s="59" t="s">
        <v>184</v>
      </c>
      <c r="F80" s="58" t="s">
        <v>185</v>
      </c>
      <c r="G80" s="49">
        <v>2929</v>
      </c>
      <c r="H80" s="49">
        <v>12000</v>
      </c>
      <c r="I80" s="49">
        <f t="shared" si="31"/>
        <v>12000</v>
      </c>
      <c r="J80" s="49">
        <v>6028.9</v>
      </c>
      <c r="K80" s="57">
        <f t="shared" si="22"/>
        <v>205.83475588938205</v>
      </c>
      <c r="L80" s="57">
        <f t="shared" si="23"/>
        <v>50.240833333333335</v>
      </c>
      <c r="M80" s="105"/>
    </row>
    <row r="81" spans="2:13" x14ac:dyDescent="0.25">
      <c r="B81" s="58"/>
      <c r="C81" s="38"/>
      <c r="D81" s="59">
        <v>324</v>
      </c>
      <c r="E81" s="63"/>
      <c r="F81" s="58" t="s">
        <v>201</v>
      </c>
      <c r="G81" s="49">
        <f>G82</f>
        <v>0</v>
      </c>
      <c r="H81" s="49">
        <f t="shared" ref="H81:J81" si="32">H82</f>
        <v>0</v>
      </c>
      <c r="I81" s="49">
        <f t="shared" si="32"/>
        <v>0</v>
      </c>
      <c r="J81" s="49">
        <f t="shared" si="32"/>
        <v>0</v>
      </c>
      <c r="K81" s="57" t="e">
        <f t="shared" si="22"/>
        <v>#DIV/0!</v>
      </c>
      <c r="L81" s="57" t="e">
        <f t="shared" si="23"/>
        <v>#DIV/0!</v>
      </c>
      <c r="M81" s="105"/>
    </row>
    <row r="82" spans="2:13" x14ac:dyDescent="0.25">
      <c r="B82" s="58"/>
      <c r="C82" s="38"/>
      <c r="D82" s="38"/>
      <c r="E82" s="59">
        <v>3241</v>
      </c>
      <c r="F82" s="58" t="s">
        <v>201</v>
      </c>
      <c r="G82" s="49">
        <v>0</v>
      </c>
      <c r="H82" s="49">
        <v>0</v>
      </c>
      <c r="I82" s="49">
        <v>0</v>
      </c>
      <c r="J82" s="49">
        <v>0</v>
      </c>
      <c r="K82" s="57" t="e">
        <f t="shared" si="22"/>
        <v>#DIV/0!</v>
      </c>
      <c r="L82" s="57" t="e">
        <f t="shared" si="23"/>
        <v>#DIV/0!</v>
      </c>
      <c r="M82" s="105"/>
    </row>
    <row r="83" spans="2:13" x14ac:dyDescent="0.25">
      <c r="B83" s="58"/>
      <c r="D83" s="59">
        <v>329</v>
      </c>
      <c r="E83" s="63"/>
      <c r="F83" s="58" t="s">
        <v>186</v>
      </c>
      <c r="G83" s="49">
        <f>G84+G85+G86+G87+G88</f>
        <v>7850</v>
      </c>
      <c r="H83" s="49">
        <f t="shared" ref="H83:J83" si="33">H84+H85+H86+H87+H88</f>
        <v>17700</v>
      </c>
      <c r="I83" s="49">
        <f t="shared" si="33"/>
        <v>17700</v>
      </c>
      <c r="J83" s="49">
        <f t="shared" si="33"/>
        <v>8350</v>
      </c>
      <c r="K83" s="57">
        <f t="shared" si="22"/>
        <v>106.36942675159236</v>
      </c>
      <c r="L83" s="57">
        <f t="shared" si="23"/>
        <v>47.175141242937855</v>
      </c>
      <c r="M83" s="105"/>
    </row>
    <row r="84" spans="2:13" x14ac:dyDescent="0.25">
      <c r="B84" s="58"/>
      <c r="C84" s="38"/>
      <c r="D84" s="38"/>
      <c r="E84" s="59" t="s">
        <v>187</v>
      </c>
      <c r="F84" s="58" t="s">
        <v>188</v>
      </c>
      <c r="G84" s="49">
        <v>4500</v>
      </c>
      <c r="H84" s="49">
        <v>9000</v>
      </c>
      <c r="I84" s="49">
        <f>+H84</f>
        <v>9000</v>
      </c>
      <c r="J84" s="49">
        <v>4500</v>
      </c>
      <c r="K84" s="57">
        <f t="shared" si="22"/>
        <v>100</v>
      </c>
      <c r="L84" s="57">
        <f t="shared" si="23"/>
        <v>50</v>
      </c>
      <c r="M84" s="105"/>
    </row>
    <row r="85" spans="2:13" x14ac:dyDescent="0.25">
      <c r="B85" s="58"/>
      <c r="C85" s="38"/>
      <c r="D85" s="38"/>
      <c r="E85" s="59">
        <v>3292</v>
      </c>
      <c r="F85" s="58" t="s">
        <v>189</v>
      </c>
      <c r="G85" s="49">
        <v>2500</v>
      </c>
      <c r="H85" s="49">
        <v>6000</v>
      </c>
      <c r="I85" s="49">
        <f>+H85</f>
        <v>6000</v>
      </c>
      <c r="J85" s="49">
        <v>3000</v>
      </c>
      <c r="K85" s="57">
        <f t="shared" si="22"/>
        <v>120</v>
      </c>
      <c r="L85" s="57">
        <f t="shared" si="23"/>
        <v>50</v>
      </c>
      <c r="M85" s="105"/>
    </row>
    <row r="86" spans="2:13" x14ac:dyDescent="0.25">
      <c r="B86" s="58"/>
      <c r="C86" s="38"/>
      <c r="D86" s="38"/>
      <c r="E86" s="59" t="s">
        <v>190</v>
      </c>
      <c r="F86" s="58" t="s">
        <v>191</v>
      </c>
      <c r="G86" s="49">
        <v>0</v>
      </c>
      <c r="H86" s="49">
        <v>1000</v>
      </c>
      <c r="I86" s="49">
        <f>+H86</f>
        <v>1000</v>
      </c>
      <c r="J86" s="49">
        <v>0</v>
      </c>
      <c r="K86" s="57" t="e">
        <f t="shared" si="22"/>
        <v>#DIV/0!</v>
      </c>
      <c r="L86" s="57">
        <f t="shared" si="23"/>
        <v>0</v>
      </c>
      <c r="M86" s="105"/>
    </row>
    <row r="87" spans="2:13" x14ac:dyDescent="0.25">
      <c r="B87" s="58"/>
      <c r="C87" s="38"/>
      <c r="D87" s="38"/>
      <c r="E87" s="59">
        <v>3294</v>
      </c>
      <c r="F87" s="58" t="s">
        <v>192</v>
      </c>
      <c r="G87" s="49">
        <v>350</v>
      </c>
      <c r="H87" s="49">
        <v>700</v>
      </c>
      <c r="I87" s="49">
        <f>+H87</f>
        <v>700</v>
      </c>
      <c r="J87" s="49">
        <v>350</v>
      </c>
      <c r="K87" s="57">
        <f t="shared" si="22"/>
        <v>100</v>
      </c>
      <c r="L87" s="57">
        <f t="shared" si="23"/>
        <v>50</v>
      </c>
      <c r="M87" s="105"/>
    </row>
    <row r="88" spans="2:13" x14ac:dyDescent="0.25">
      <c r="B88" s="58"/>
      <c r="C88" s="38"/>
      <c r="D88" s="38"/>
      <c r="E88" s="59" t="s">
        <v>193</v>
      </c>
      <c r="F88" s="58" t="s">
        <v>186</v>
      </c>
      <c r="G88" s="49">
        <v>500</v>
      </c>
      <c r="H88" s="49">
        <v>1000</v>
      </c>
      <c r="I88" s="49">
        <f>+H88</f>
        <v>1000</v>
      </c>
      <c r="J88" s="49">
        <v>500</v>
      </c>
      <c r="K88" s="57">
        <f t="shared" si="22"/>
        <v>100</v>
      </c>
      <c r="L88" s="57">
        <f t="shared" si="23"/>
        <v>50</v>
      </c>
      <c r="M88" s="105"/>
    </row>
    <row r="89" spans="2:13" x14ac:dyDescent="0.25">
      <c r="B89" s="58"/>
      <c r="C89" s="59">
        <v>34</v>
      </c>
      <c r="D89" s="38"/>
      <c r="E89" s="63"/>
      <c r="F89" s="64" t="s">
        <v>194</v>
      </c>
      <c r="G89" s="49">
        <f>G90</f>
        <v>1000</v>
      </c>
      <c r="H89" s="49">
        <f>H90</f>
        <v>3000</v>
      </c>
      <c r="I89" s="49">
        <f t="shared" ref="H89:J90" si="34">I90</f>
        <v>3000</v>
      </c>
      <c r="J89" s="49">
        <f t="shared" si="34"/>
        <v>1500</v>
      </c>
      <c r="K89" s="57">
        <f t="shared" si="22"/>
        <v>150</v>
      </c>
      <c r="L89" s="57">
        <f t="shared" si="23"/>
        <v>50</v>
      </c>
      <c r="M89" s="105"/>
    </row>
    <row r="90" spans="2:13" x14ac:dyDescent="0.25">
      <c r="B90" s="58"/>
      <c r="C90" s="38"/>
      <c r="D90" s="59">
        <v>343</v>
      </c>
      <c r="E90" s="63"/>
      <c r="F90" s="58" t="s">
        <v>195</v>
      </c>
      <c r="G90" s="49">
        <f>G91</f>
        <v>1000</v>
      </c>
      <c r="H90" s="49">
        <f t="shared" si="34"/>
        <v>3000</v>
      </c>
      <c r="I90" s="49">
        <f t="shared" si="34"/>
        <v>3000</v>
      </c>
      <c r="J90" s="49">
        <f t="shared" si="34"/>
        <v>1500</v>
      </c>
      <c r="K90" s="57">
        <f t="shared" si="22"/>
        <v>150</v>
      </c>
      <c r="L90" s="57">
        <f t="shared" si="23"/>
        <v>50</v>
      </c>
      <c r="M90" s="105"/>
    </row>
    <row r="91" spans="2:13" x14ac:dyDescent="0.25">
      <c r="B91" s="58"/>
      <c r="C91" s="38"/>
      <c r="D91" s="38"/>
      <c r="E91" s="59" t="s">
        <v>196</v>
      </c>
      <c r="F91" s="58" t="s">
        <v>197</v>
      </c>
      <c r="G91" s="49">
        <v>1000</v>
      </c>
      <c r="H91" s="49">
        <v>3000</v>
      </c>
      <c r="I91" s="49">
        <f>+H91</f>
        <v>3000</v>
      </c>
      <c r="J91" s="49">
        <v>1500</v>
      </c>
      <c r="K91" s="57">
        <f t="shared" si="22"/>
        <v>150</v>
      </c>
      <c r="L91" s="57">
        <f t="shared" si="23"/>
        <v>50</v>
      </c>
      <c r="M91" s="105"/>
    </row>
    <row r="92" spans="2:13" x14ac:dyDescent="0.25">
      <c r="B92" s="58"/>
      <c r="C92" s="59" t="s">
        <v>198</v>
      </c>
      <c r="D92" s="38"/>
      <c r="E92" s="63"/>
      <c r="F92" s="64" t="s">
        <v>199</v>
      </c>
      <c r="G92" s="49">
        <f>+G95+G93</f>
        <v>0</v>
      </c>
      <c r="H92" s="49">
        <f t="shared" ref="H92:J92" si="35">+H95+H93</f>
        <v>2337934</v>
      </c>
      <c r="I92" s="49">
        <f t="shared" si="35"/>
        <v>2337934</v>
      </c>
      <c r="J92" s="49">
        <f t="shared" si="35"/>
        <v>8.81</v>
      </c>
      <c r="K92" s="57" t="e">
        <f t="shared" si="22"/>
        <v>#DIV/0!</v>
      </c>
      <c r="L92" s="57">
        <f t="shared" si="23"/>
        <v>3.7682843057160724E-4</v>
      </c>
      <c r="M92" s="105"/>
    </row>
    <row r="93" spans="2:13" x14ac:dyDescent="0.25">
      <c r="B93" s="58"/>
      <c r="C93" s="59"/>
      <c r="D93" s="38">
        <v>368</v>
      </c>
      <c r="E93" s="63"/>
      <c r="F93" s="64" t="s">
        <v>294</v>
      </c>
      <c r="G93" s="49">
        <f>+G94</f>
        <v>0</v>
      </c>
      <c r="H93" s="49">
        <f t="shared" ref="H93:I93" si="36">+H94</f>
        <v>2337784</v>
      </c>
      <c r="I93" s="49">
        <f t="shared" si="36"/>
        <v>2337784</v>
      </c>
      <c r="J93" s="49">
        <f>+J94</f>
        <v>0</v>
      </c>
      <c r="K93" s="57" t="e">
        <f t="shared" ref="K93:K95" si="37">J93/G93*100</f>
        <v>#DIV/0!</v>
      </c>
      <c r="L93" s="57">
        <f t="shared" ref="L93:L95" si="38">J93/I93*100</f>
        <v>0</v>
      </c>
      <c r="M93" s="105"/>
    </row>
    <row r="94" spans="2:13" x14ac:dyDescent="0.25">
      <c r="B94" s="58"/>
      <c r="C94" s="59"/>
      <c r="D94" s="38"/>
      <c r="E94" s="117">
        <v>3682</v>
      </c>
      <c r="F94" s="64" t="s">
        <v>293</v>
      </c>
      <c r="G94" s="49">
        <v>0</v>
      </c>
      <c r="H94" s="49">
        <v>2337784</v>
      </c>
      <c r="I94" s="49">
        <f>+H94</f>
        <v>2337784</v>
      </c>
      <c r="J94" s="49">
        <v>0</v>
      </c>
      <c r="K94" s="57" t="e">
        <f t="shared" si="37"/>
        <v>#DIV/0!</v>
      </c>
      <c r="L94" s="57">
        <f t="shared" si="38"/>
        <v>0</v>
      </c>
      <c r="M94" s="105"/>
    </row>
    <row r="95" spans="2:13" x14ac:dyDescent="0.25">
      <c r="B95" s="58"/>
      <c r="C95" s="38"/>
      <c r="D95" s="59">
        <v>369</v>
      </c>
      <c r="E95" s="63"/>
      <c r="F95" s="58" t="s">
        <v>200</v>
      </c>
      <c r="G95" s="49">
        <f>+G96</f>
        <v>0</v>
      </c>
      <c r="H95" s="49">
        <f t="shared" ref="H95:I95" si="39">+H96</f>
        <v>150</v>
      </c>
      <c r="I95" s="49">
        <f t="shared" si="39"/>
        <v>150</v>
      </c>
      <c r="J95" s="49">
        <f>+J96</f>
        <v>8.81</v>
      </c>
      <c r="K95" s="57" t="e">
        <f t="shared" si="37"/>
        <v>#DIV/0!</v>
      </c>
      <c r="L95" s="57">
        <f t="shared" si="38"/>
        <v>5.873333333333334</v>
      </c>
      <c r="M95" s="105"/>
    </row>
    <row r="96" spans="2:13" x14ac:dyDescent="0.25">
      <c r="B96" s="58"/>
      <c r="C96" s="38"/>
      <c r="D96" s="38"/>
      <c r="E96" s="59">
        <v>3691</v>
      </c>
      <c r="F96" s="58" t="s">
        <v>70</v>
      </c>
      <c r="G96" s="49">
        <v>0</v>
      </c>
      <c r="H96" s="49">
        <v>150</v>
      </c>
      <c r="I96" s="49">
        <f>+H96</f>
        <v>150</v>
      </c>
      <c r="J96" s="49">
        <v>8.81</v>
      </c>
      <c r="K96" s="57" t="e">
        <f t="shared" ref="K96" si="40">J96/G96*100</f>
        <v>#DIV/0!</v>
      </c>
      <c r="L96" s="57">
        <f t="shared" si="23"/>
        <v>5.873333333333334</v>
      </c>
      <c r="M96" s="105"/>
    </row>
    <row r="97" spans="2:13" x14ac:dyDescent="0.25">
      <c r="B97" s="58"/>
      <c r="C97" s="38">
        <v>38</v>
      </c>
      <c r="D97" s="38"/>
      <c r="E97" s="59"/>
      <c r="F97" s="58" t="s">
        <v>271</v>
      </c>
      <c r="G97" s="49">
        <f>+G98</f>
        <v>30685.85</v>
      </c>
      <c r="H97" s="49">
        <f t="shared" ref="H97:I97" si="41">+H98</f>
        <v>900000</v>
      </c>
      <c r="I97" s="49">
        <f t="shared" si="41"/>
        <v>900000</v>
      </c>
      <c r="J97" s="49">
        <f>+J98</f>
        <v>0</v>
      </c>
      <c r="K97" s="57">
        <f t="shared" ref="K97:K99" si="42">J97/G97*100</f>
        <v>0</v>
      </c>
      <c r="L97" s="57">
        <f t="shared" ref="L97:L99" si="43">J97/I97*100</f>
        <v>0</v>
      </c>
      <c r="M97" s="105"/>
    </row>
    <row r="98" spans="2:13" x14ac:dyDescent="0.25">
      <c r="B98" s="58"/>
      <c r="C98" s="38"/>
      <c r="D98" s="38">
        <v>382</v>
      </c>
      <c r="E98" s="59"/>
      <c r="F98" s="58" t="s">
        <v>272</v>
      </c>
      <c r="G98" s="49">
        <f>+G99+G100</f>
        <v>30685.85</v>
      </c>
      <c r="H98" s="49">
        <f t="shared" ref="H98:K98" si="44">+H99+H100</f>
        <v>900000</v>
      </c>
      <c r="I98" s="49">
        <f t="shared" si="44"/>
        <v>900000</v>
      </c>
      <c r="J98" s="49">
        <f>+J99+J100</f>
        <v>0</v>
      </c>
      <c r="K98" s="49">
        <f t="shared" si="44"/>
        <v>0</v>
      </c>
      <c r="L98" s="57">
        <f t="shared" si="43"/>
        <v>0</v>
      </c>
      <c r="M98" s="105"/>
    </row>
    <row r="99" spans="2:13" x14ac:dyDescent="0.25">
      <c r="B99" s="58"/>
      <c r="C99" s="38"/>
      <c r="D99" s="38"/>
      <c r="E99" s="59" t="s">
        <v>270</v>
      </c>
      <c r="F99" s="58" t="s">
        <v>273</v>
      </c>
      <c r="G99" s="49">
        <v>26874.36</v>
      </c>
      <c r="H99" s="49">
        <v>100000</v>
      </c>
      <c r="I99" s="49">
        <f>+H99</f>
        <v>100000</v>
      </c>
      <c r="J99" s="49">
        <v>0</v>
      </c>
      <c r="K99" s="57">
        <f t="shared" si="42"/>
        <v>0</v>
      </c>
      <c r="L99" s="57">
        <f t="shared" si="43"/>
        <v>0</v>
      </c>
      <c r="M99" s="105"/>
    </row>
    <row r="100" spans="2:13" x14ac:dyDescent="0.25">
      <c r="B100" s="58"/>
      <c r="C100" s="38"/>
      <c r="D100" s="38"/>
      <c r="E100" s="59" t="s">
        <v>274</v>
      </c>
      <c r="F100" s="58" t="s">
        <v>275</v>
      </c>
      <c r="G100" s="49">
        <v>3811.49</v>
      </c>
      <c r="H100" s="49">
        <v>800000</v>
      </c>
      <c r="I100" s="49">
        <f>+H100</f>
        <v>800000</v>
      </c>
      <c r="J100" s="49">
        <v>0</v>
      </c>
      <c r="K100" s="57">
        <f t="shared" ref="K100:K101" si="45">J100/G100*100</f>
        <v>0</v>
      </c>
      <c r="L100" s="57">
        <f t="shared" ref="L100:L101" si="46">J100/I100*100</f>
        <v>0</v>
      </c>
      <c r="M100" s="105"/>
    </row>
    <row r="101" spans="2:13" x14ac:dyDescent="0.25">
      <c r="B101" s="65">
        <v>4</v>
      </c>
      <c r="C101" s="65"/>
      <c r="D101" s="38"/>
      <c r="E101" s="63"/>
      <c r="F101" s="64" t="s">
        <v>5</v>
      </c>
      <c r="G101" s="62">
        <f>G102+G114</f>
        <v>73701.89</v>
      </c>
      <c r="H101" s="62">
        <f t="shared" ref="H101:J101" si="47">H102+H114</f>
        <v>1526960</v>
      </c>
      <c r="I101" s="62">
        <f t="shared" si="47"/>
        <v>1526960</v>
      </c>
      <c r="J101" s="62">
        <f t="shared" si="47"/>
        <v>10547.38</v>
      </c>
      <c r="K101" s="57">
        <f t="shared" si="45"/>
        <v>14.310867740298111</v>
      </c>
      <c r="L101" s="57">
        <f t="shared" si="46"/>
        <v>0.6907436999004557</v>
      </c>
      <c r="M101" s="105"/>
    </row>
    <row r="102" spans="2:13" x14ac:dyDescent="0.25">
      <c r="B102" s="58"/>
      <c r="C102" s="59">
        <v>42</v>
      </c>
      <c r="D102" s="38"/>
      <c r="E102" s="63"/>
      <c r="F102" s="64" t="s">
        <v>202</v>
      </c>
      <c r="G102" s="49">
        <f>G103+G106+G110+G112</f>
        <v>73701.89</v>
      </c>
      <c r="H102" s="49">
        <f t="shared" ref="H102:J102" si="48">H103+H106+H110+H112</f>
        <v>1526960</v>
      </c>
      <c r="I102" s="49">
        <f t="shared" si="48"/>
        <v>1526960</v>
      </c>
      <c r="J102" s="49">
        <f t="shared" si="48"/>
        <v>10547.38</v>
      </c>
      <c r="K102" s="57">
        <f t="shared" si="22"/>
        <v>14.310867740298111</v>
      </c>
      <c r="L102" s="57">
        <f t="shared" si="23"/>
        <v>0.6907436999004557</v>
      </c>
      <c r="M102" s="105"/>
    </row>
    <row r="103" spans="2:13" x14ac:dyDescent="0.25">
      <c r="B103" s="58"/>
      <c r="C103" s="38"/>
      <c r="D103" s="59" t="s">
        <v>203</v>
      </c>
      <c r="E103" s="63"/>
      <c r="F103" s="58" t="s">
        <v>204</v>
      </c>
      <c r="G103" s="49">
        <f>G104+G105</f>
        <v>0</v>
      </c>
      <c r="H103" s="49">
        <f t="shared" ref="H103:J103" si="49">H104+H105</f>
        <v>0</v>
      </c>
      <c r="I103" s="49">
        <f t="shared" si="49"/>
        <v>0</v>
      </c>
      <c r="J103" s="49">
        <f t="shared" si="49"/>
        <v>0</v>
      </c>
      <c r="K103" s="57" t="e">
        <f t="shared" si="22"/>
        <v>#DIV/0!</v>
      </c>
      <c r="L103" s="57" t="e">
        <f t="shared" si="23"/>
        <v>#DIV/0!</v>
      </c>
      <c r="M103" s="105"/>
    </row>
    <row r="104" spans="2:13" x14ac:dyDescent="0.25">
      <c r="B104" s="58"/>
      <c r="C104" s="38"/>
      <c r="D104" s="38"/>
      <c r="E104" s="59" t="s">
        <v>205</v>
      </c>
      <c r="F104" s="58" t="s">
        <v>206</v>
      </c>
      <c r="G104" s="49">
        <v>0</v>
      </c>
      <c r="H104" s="49">
        <v>0</v>
      </c>
      <c r="I104" s="49">
        <v>0</v>
      </c>
      <c r="J104" s="49">
        <v>0</v>
      </c>
      <c r="K104" s="57" t="e">
        <f t="shared" si="22"/>
        <v>#DIV/0!</v>
      </c>
      <c r="L104" s="57" t="e">
        <f t="shared" si="23"/>
        <v>#DIV/0!</v>
      </c>
      <c r="M104" s="105"/>
    </row>
    <row r="105" spans="2:13" x14ac:dyDescent="0.25">
      <c r="B105" s="58"/>
      <c r="C105" s="38"/>
      <c r="D105" s="38"/>
      <c r="E105" s="59" t="s">
        <v>207</v>
      </c>
      <c r="F105" s="58" t="s">
        <v>208</v>
      </c>
      <c r="G105" s="49">
        <v>0</v>
      </c>
      <c r="H105" s="49">
        <v>0</v>
      </c>
      <c r="I105" s="49">
        <v>0</v>
      </c>
      <c r="J105" s="49">
        <v>0</v>
      </c>
      <c r="K105" s="57" t="e">
        <f t="shared" si="22"/>
        <v>#DIV/0!</v>
      </c>
      <c r="L105" s="57" t="e">
        <f t="shared" si="23"/>
        <v>#DIV/0!</v>
      </c>
      <c r="M105" s="105"/>
    </row>
    <row r="106" spans="2:13" x14ac:dyDescent="0.25">
      <c r="B106" s="58"/>
      <c r="C106" s="38"/>
      <c r="D106" s="59">
        <v>422</v>
      </c>
      <c r="F106" s="58" t="s">
        <v>209</v>
      </c>
      <c r="G106" s="49">
        <f>G107+G108+G109</f>
        <v>73701.89</v>
      </c>
      <c r="H106" s="49">
        <f t="shared" ref="H106:J106" si="50">H107+H108+H109</f>
        <v>314500</v>
      </c>
      <c r="I106" s="49">
        <f t="shared" si="50"/>
        <v>314500</v>
      </c>
      <c r="J106" s="49">
        <f t="shared" si="50"/>
        <v>10547.38</v>
      </c>
      <c r="K106" s="57">
        <f t="shared" si="22"/>
        <v>14.310867740298111</v>
      </c>
      <c r="L106" s="57">
        <f t="shared" si="23"/>
        <v>3.3536979332273447</v>
      </c>
      <c r="M106" s="105"/>
    </row>
    <row r="107" spans="2:13" x14ac:dyDescent="0.25">
      <c r="B107" s="58"/>
      <c r="C107" s="38"/>
      <c r="D107" s="38"/>
      <c r="E107" s="59" t="s">
        <v>210</v>
      </c>
      <c r="F107" s="58" t="s">
        <v>96</v>
      </c>
      <c r="G107" s="49">
        <v>0</v>
      </c>
      <c r="H107" s="49">
        <v>0</v>
      </c>
      <c r="I107" s="49">
        <v>0</v>
      </c>
      <c r="J107" s="49">
        <v>0</v>
      </c>
      <c r="K107" s="57" t="e">
        <f t="shared" si="22"/>
        <v>#DIV/0!</v>
      </c>
      <c r="L107" s="57" t="e">
        <f t="shared" si="23"/>
        <v>#DIV/0!</v>
      </c>
      <c r="M107" s="105"/>
    </row>
    <row r="108" spans="2:13" x14ac:dyDescent="0.25">
      <c r="B108" s="58"/>
      <c r="C108" s="38"/>
      <c r="D108" s="38"/>
      <c r="E108" s="59" t="s">
        <v>211</v>
      </c>
      <c r="F108" s="58" t="s">
        <v>212</v>
      </c>
      <c r="G108" s="49">
        <v>0</v>
      </c>
      <c r="H108" s="49">
        <v>0</v>
      </c>
      <c r="I108" s="49">
        <v>0</v>
      </c>
      <c r="J108" s="49">
        <v>0</v>
      </c>
      <c r="K108" s="57" t="e">
        <f t="shared" si="22"/>
        <v>#DIV/0!</v>
      </c>
      <c r="L108" s="57" t="e">
        <f t="shared" si="23"/>
        <v>#DIV/0!</v>
      </c>
      <c r="M108" s="105"/>
    </row>
    <row r="109" spans="2:13" x14ac:dyDescent="0.25">
      <c r="B109" s="58"/>
      <c r="C109" s="38"/>
      <c r="D109" s="38"/>
      <c r="E109" s="59" t="s">
        <v>213</v>
      </c>
      <c r="F109" s="58" t="s">
        <v>97</v>
      </c>
      <c r="G109" s="49">
        <v>73701.89</v>
      </c>
      <c r="H109" s="49">
        <f>16500+50000+248000</f>
        <v>314500</v>
      </c>
      <c r="I109" s="49">
        <f>+H109</f>
        <v>314500</v>
      </c>
      <c r="J109" s="49">
        <v>10547.38</v>
      </c>
      <c r="K109" s="57">
        <f t="shared" si="22"/>
        <v>14.310867740298111</v>
      </c>
      <c r="L109" s="57">
        <f t="shared" si="23"/>
        <v>3.3536979332273447</v>
      </c>
      <c r="M109" s="105"/>
    </row>
    <row r="110" spans="2:13" x14ac:dyDescent="0.25">
      <c r="B110" s="58"/>
      <c r="C110" s="38"/>
      <c r="D110" s="59" t="s">
        <v>214</v>
      </c>
      <c r="E110" s="63"/>
      <c r="F110" s="58" t="s">
        <v>215</v>
      </c>
      <c r="G110" s="49">
        <f>G111</f>
        <v>0</v>
      </c>
      <c r="H110" s="49">
        <f t="shared" ref="H110:J110" si="51">H111</f>
        <v>1212460</v>
      </c>
      <c r="I110" s="49">
        <f t="shared" si="51"/>
        <v>1212460</v>
      </c>
      <c r="J110" s="49">
        <f t="shared" si="51"/>
        <v>0</v>
      </c>
      <c r="K110" s="57" t="e">
        <f t="shared" si="22"/>
        <v>#DIV/0!</v>
      </c>
      <c r="L110" s="57">
        <f t="shared" si="23"/>
        <v>0</v>
      </c>
      <c r="M110" s="105"/>
    </row>
    <row r="111" spans="2:13" x14ac:dyDescent="0.25">
      <c r="B111" s="58"/>
      <c r="C111" s="38"/>
      <c r="D111" s="38"/>
      <c r="E111" s="59" t="s">
        <v>216</v>
      </c>
      <c r="F111" s="58" t="s">
        <v>98</v>
      </c>
      <c r="G111" s="49">
        <v>0</v>
      </c>
      <c r="H111" s="49">
        <f>181835+1030625</f>
        <v>1212460</v>
      </c>
      <c r="I111" s="49">
        <f>+H111</f>
        <v>1212460</v>
      </c>
      <c r="J111" s="49">
        <v>0</v>
      </c>
      <c r="K111" s="57" t="e">
        <f t="shared" si="22"/>
        <v>#DIV/0!</v>
      </c>
      <c r="L111" s="57">
        <f t="shared" si="23"/>
        <v>0</v>
      </c>
      <c r="M111" s="105"/>
    </row>
    <row r="112" spans="2:13" x14ac:dyDescent="0.25">
      <c r="B112" s="58"/>
      <c r="C112" s="38"/>
      <c r="D112" s="59" t="s">
        <v>217</v>
      </c>
      <c r="E112" s="63"/>
      <c r="F112" s="58" t="s">
        <v>218</v>
      </c>
      <c r="G112" s="49">
        <f>G113</f>
        <v>0</v>
      </c>
      <c r="H112" s="49">
        <f t="shared" ref="H112:J112" si="52">H113</f>
        <v>0</v>
      </c>
      <c r="I112" s="49">
        <f t="shared" si="52"/>
        <v>0</v>
      </c>
      <c r="J112" s="49">
        <f t="shared" si="52"/>
        <v>0</v>
      </c>
      <c r="K112" s="57" t="e">
        <f t="shared" si="22"/>
        <v>#DIV/0!</v>
      </c>
      <c r="L112" s="57" t="e">
        <f t="shared" si="23"/>
        <v>#DIV/0!</v>
      </c>
      <c r="M112" s="105"/>
    </row>
    <row r="113" spans="2:13" x14ac:dyDescent="0.25">
      <c r="B113" s="58"/>
      <c r="C113" s="38"/>
      <c r="D113" s="38"/>
      <c r="E113" s="59" t="s">
        <v>219</v>
      </c>
      <c r="F113" s="58" t="s">
        <v>220</v>
      </c>
      <c r="G113" s="49">
        <v>0</v>
      </c>
      <c r="H113" s="49">
        <v>0</v>
      </c>
      <c r="I113" s="49">
        <v>0</v>
      </c>
      <c r="J113" s="49">
        <v>0</v>
      </c>
      <c r="K113" s="57" t="e">
        <f t="shared" si="22"/>
        <v>#DIV/0!</v>
      </c>
      <c r="L113" s="57" t="e">
        <f t="shared" si="23"/>
        <v>#DIV/0!</v>
      </c>
      <c r="M113" s="105"/>
    </row>
    <row r="114" spans="2:13" x14ac:dyDescent="0.25">
      <c r="B114" s="58"/>
      <c r="C114" s="59" t="s">
        <v>221</v>
      </c>
      <c r="D114" s="38"/>
      <c r="E114" s="63"/>
      <c r="F114" s="64" t="s">
        <v>222</v>
      </c>
      <c r="G114" s="49">
        <f>+G115</f>
        <v>0</v>
      </c>
      <c r="H114" s="49">
        <f t="shared" ref="H114:J114" si="53">+H115</f>
        <v>0</v>
      </c>
      <c r="I114" s="49">
        <f t="shared" si="53"/>
        <v>0</v>
      </c>
      <c r="J114" s="49">
        <f t="shared" si="53"/>
        <v>0</v>
      </c>
      <c r="K114" s="57" t="e">
        <f t="shared" si="22"/>
        <v>#DIV/0!</v>
      </c>
      <c r="L114" s="57" t="e">
        <f t="shared" si="23"/>
        <v>#DIV/0!</v>
      </c>
      <c r="M114" s="105"/>
    </row>
    <row r="115" spans="2:13" x14ac:dyDescent="0.25">
      <c r="B115" s="58"/>
      <c r="C115" s="38"/>
      <c r="D115" s="59" t="s">
        <v>223</v>
      </c>
      <c r="E115" s="63"/>
      <c r="F115" s="58" t="s">
        <v>224</v>
      </c>
      <c r="G115" s="49">
        <f>G116</f>
        <v>0</v>
      </c>
      <c r="H115" s="49">
        <f t="shared" ref="H115:J115" si="54">H116</f>
        <v>0</v>
      </c>
      <c r="I115" s="49">
        <f t="shared" si="54"/>
        <v>0</v>
      </c>
      <c r="J115" s="49">
        <f t="shared" si="54"/>
        <v>0</v>
      </c>
      <c r="K115" s="57" t="e">
        <f t="shared" si="22"/>
        <v>#DIV/0!</v>
      </c>
      <c r="L115" s="57" t="e">
        <f t="shared" si="23"/>
        <v>#DIV/0!</v>
      </c>
      <c r="M115" s="105"/>
    </row>
    <row r="116" spans="2:13" x14ac:dyDescent="0.25">
      <c r="B116" s="58"/>
      <c r="C116" s="38"/>
      <c r="D116" s="38"/>
      <c r="E116" s="59" t="s">
        <v>225</v>
      </c>
      <c r="F116" s="58" t="s">
        <v>224</v>
      </c>
      <c r="G116" s="49">
        <v>0</v>
      </c>
      <c r="H116" s="49">
        <v>0</v>
      </c>
      <c r="I116" s="49">
        <v>0</v>
      </c>
      <c r="J116" s="49">
        <v>0</v>
      </c>
      <c r="K116" s="57" t="e">
        <f t="shared" si="22"/>
        <v>#DIV/0!</v>
      </c>
      <c r="L116" s="57" t="e">
        <f t="shared" si="23"/>
        <v>#DIV/0!</v>
      </c>
      <c r="M116" s="105"/>
    </row>
    <row r="117" spans="2:13" ht="15" customHeight="1" x14ac:dyDescent="0.25"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</row>
    <row r="118" spans="2:13" x14ac:dyDescent="0.25"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</row>
    <row r="119" spans="2:13" ht="4.5" customHeight="1" x14ac:dyDescent="0.25"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</row>
  </sheetData>
  <mergeCells count="7">
    <mergeCell ref="B2:L2"/>
    <mergeCell ref="B4:L4"/>
    <mergeCell ref="B6:L6"/>
    <mergeCell ref="B49:F49"/>
    <mergeCell ref="B9:F9"/>
    <mergeCell ref="B48:F48"/>
    <mergeCell ref="B8:F8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rowBreaks count="1" manualBreakCount="1">
    <brk id="47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42"/>
  <sheetViews>
    <sheetView tabSelected="1" topLeftCell="C4" zoomScaleNormal="100" workbookViewId="0">
      <selection activeCell="M14" sqref="M14"/>
    </sheetView>
  </sheetViews>
  <sheetFormatPr defaultRowHeight="12.75" x14ac:dyDescent="0.2"/>
  <cols>
    <col min="1" max="1" width="9.140625" style="30"/>
    <col min="2" max="2" width="37.7109375" style="30" customWidth="1"/>
    <col min="3" max="6" width="25.28515625" style="30" customWidth="1"/>
    <col min="7" max="8" width="15.7109375" style="30" customWidth="1"/>
    <col min="9" max="9" width="9.7109375" style="30" bestFit="1" customWidth="1"/>
    <col min="10" max="10" width="10.28515625" style="30" bestFit="1" customWidth="1"/>
    <col min="11" max="11" width="9.140625" style="30"/>
    <col min="12" max="12" width="10.28515625" style="30" bestFit="1" customWidth="1"/>
    <col min="13" max="16384" width="9.140625" style="30"/>
  </cols>
  <sheetData>
    <row r="1" spans="2:13" x14ac:dyDescent="0.2">
      <c r="B1" s="32"/>
      <c r="C1" s="32"/>
      <c r="D1" s="32"/>
      <c r="E1" s="32"/>
      <c r="F1" s="4"/>
      <c r="G1" s="4"/>
      <c r="H1" s="4"/>
    </row>
    <row r="2" spans="2:13" ht="15.75" customHeight="1" x14ac:dyDescent="0.2">
      <c r="B2" s="143" t="s">
        <v>34</v>
      </c>
      <c r="C2" s="143"/>
      <c r="D2" s="143"/>
      <c r="E2" s="143"/>
      <c r="F2" s="143"/>
      <c r="G2" s="143"/>
      <c r="H2" s="143"/>
    </row>
    <row r="3" spans="2:13" x14ac:dyDescent="0.2">
      <c r="B3" s="32"/>
      <c r="C3" s="32"/>
      <c r="D3" s="32"/>
      <c r="E3" s="32"/>
      <c r="F3" s="4"/>
      <c r="G3" s="4"/>
      <c r="H3" s="4"/>
    </row>
    <row r="4" spans="2:13" ht="33.75" customHeight="1" x14ac:dyDescent="0.2">
      <c r="B4" s="20" t="s">
        <v>6</v>
      </c>
      <c r="C4" s="20" t="s">
        <v>267</v>
      </c>
      <c r="D4" s="20" t="s">
        <v>280</v>
      </c>
      <c r="E4" s="20" t="s">
        <v>281</v>
      </c>
      <c r="F4" s="20" t="s">
        <v>283</v>
      </c>
      <c r="G4" s="20" t="s">
        <v>18</v>
      </c>
      <c r="H4" s="20" t="s">
        <v>44</v>
      </c>
    </row>
    <row r="5" spans="2:13" x14ac:dyDescent="0.2">
      <c r="B5" s="20">
        <v>1</v>
      </c>
      <c r="C5" s="20">
        <v>2</v>
      </c>
      <c r="D5" s="20">
        <v>3</v>
      </c>
      <c r="E5" s="20">
        <v>4</v>
      </c>
      <c r="F5" s="20">
        <v>5</v>
      </c>
      <c r="G5" s="20" t="s">
        <v>31</v>
      </c>
      <c r="H5" s="20" t="s">
        <v>32</v>
      </c>
    </row>
    <row r="6" spans="2:13" x14ac:dyDescent="0.2">
      <c r="B6" s="7" t="s">
        <v>41</v>
      </c>
      <c r="C6" s="45">
        <f>C7+C9+C11+C13+C20+C22</f>
        <v>488508.77</v>
      </c>
      <c r="D6" s="45">
        <f>D7+D9+D11+D13+D20+D22</f>
        <v>6217536</v>
      </c>
      <c r="E6" s="45">
        <f>E7+E9+E11+E13+E20+E22</f>
        <v>6217536</v>
      </c>
      <c r="F6" s="45">
        <f>F7+F9+F11+F13+F20+F22</f>
        <v>452042.39</v>
      </c>
      <c r="G6" s="46">
        <f>F6/C6*100</f>
        <v>92.535163698289395</v>
      </c>
      <c r="H6" s="46">
        <f>F6/E6*100</f>
        <v>7.2704426641035935</v>
      </c>
      <c r="I6" s="128">
        <f>SAŽETAK!G19-' Račun prihoda i rashoda'!G10</f>
        <v>0</v>
      </c>
      <c r="J6" s="128">
        <f>SAŽETAK!H19-' Račun prihoda i rashoda'!H10</f>
        <v>0</v>
      </c>
      <c r="K6" s="128">
        <f>SAŽETAK!I19-' Račun prihoda i rashoda'!I10</f>
        <v>0</v>
      </c>
      <c r="L6" s="128">
        <f>SAŽETAK!J19-' Račun prihoda i rashoda'!J10</f>
        <v>0</v>
      </c>
    </row>
    <row r="7" spans="2:13" ht="15" customHeight="1" x14ac:dyDescent="0.2">
      <c r="B7" s="7" t="s">
        <v>14</v>
      </c>
      <c r="C7" s="45">
        <f>C8</f>
        <v>296492.02</v>
      </c>
      <c r="D7" s="45">
        <f>D8</f>
        <v>800000</v>
      </c>
      <c r="E7" s="45">
        <f t="shared" ref="E7:F7" si="0">E8</f>
        <v>800000</v>
      </c>
      <c r="F7" s="45">
        <f t="shared" si="0"/>
        <v>352967.11</v>
      </c>
      <c r="G7" s="46">
        <f t="shared" ref="G7:G23" si="1">F7/C7*100</f>
        <v>119.04776054343722</v>
      </c>
      <c r="H7" s="46">
        <f t="shared" ref="H7:H23" si="2">F7/E7*100</f>
        <v>44.120888749999999</v>
      </c>
    </row>
    <row r="8" spans="2:13" ht="15.75" customHeight="1" x14ac:dyDescent="0.2">
      <c r="B8" s="13" t="s">
        <v>15</v>
      </c>
      <c r="C8" s="44">
        <v>296492.02</v>
      </c>
      <c r="D8" s="44">
        <f>781500+18500</f>
        <v>800000</v>
      </c>
      <c r="E8" s="44">
        <f>+D8</f>
        <v>800000</v>
      </c>
      <c r="F8" s="44">
        <v>352967.11</v>
      </c>
      <c r="G8" s="39">
        <f t="shared" si="1"/>
        <v>119.04776054343722</v>
      </c>
      <c r="H8" s="39">
        <f t="shared" si="2"/>
        <v>44.120888749999999</v>
      </c>
    </row>
    <row r="9" spans="2:13" ht="15" customHeight="1" x14ac:dyDescent="0.2">
      <c r="B9" s="7" t="s">
        <v>16</v>
      </c>
      <c r="C9" s="45">
        <f>C10</f>
        <v>19137</v>
      </c>
      <c r="D9" s="45">
        <f t="shared" ref="D9:F9" si="3">D10</f>
        <v>30000</v>
      </c>
      <c r="E9" s="45">
        <f t="shared" si="3"/>
        <v>30000</v>
      </c>
      <c r="F9" s="45">
        <f t="shared" si="3"/>
        <v>14789.14</v>
      </c>
      <c r="G9" s="46">
        <f t="shared" si="1"/>
        <v>77.280346971834675</v>
      </c>
      <c r="H9" s="46">
        <f t="shared" si="2"/>
        <v>49.297133333333335</v>
      </c>
      <c r="J9" s="129"/>
      <c r="K9" s="129"/>
      <c r="L9" s="129"/>
      <c r="M9" s="129"/>
    </row>
    <row r="10" spans="2:13" ht="15" customHeight="1" x14ac:dyDescent="0.2">
      <c r="B10" s="14" t="s">
        <v>17</v>
      </c>
      <c r="C10" s="44">
        <v>19137</v>
      </c>
      <c r="D10" s="44">
        <v>30000</v>
      </c>
      <c r="E10" s="44">
        <f>+D10</f>
        <v>30000</v>
      </c>
      <c r="F10" s="44">
        <f>14789.14</f>
        <v>14789.14</v>
      </c>
      <c r="G10" s="39">
        <f t="shared" si="1"/>
        <v>77.280346971834675</v>
      </c>
      <c r="H10" s="39">
        <f t="shared" si="2"/>
        <v>49.297133333333335</v>
      </c>
      <c r="I10" s="93"/>
      <c r="J10" s="129"/>
      <c r="K10" s="129"/>
      <c r="L10" s="129"/>
      <c r="M10" s="129"/>
    </row>
    <row r="11" spans="2:13" ht="15" customHeight="1" x14ac:dyDescent="0.2">
      <c r="B11" s="7" t="s">
        <v>140</v>
      </c>
      <c r="C11" s="45">
        <f>C12</f>
        <v>895.5</v>
      </c>
      <c r="D11" s="45">
        <f t="shared" ref="D11:F11" si="4">D12</f>
        <v>9210</v>
      </c>
      <c r="E11" s="45">
        <f t="shared" si="4"/>
        <v>9210</v>
      </c>
      <c r="F11" s="45">
        <f t="shared" si="4"/>
        <v>8115.85</v>
      </c>
      <c r="G11" s="46">
        <f t="shared" si="1"/>
        <v>906.29257398101618</v>
      </c>
      <c r="H11" s="46">
        <f t="shared" si="2"/>
        <v>88.119978284473405</v>
      </c>
      <c r="J11" s="129"/>
      <c r="K11" s="129"/>
      <c r="L11" s="129"/>
      <c r="M11" s="129"/>
    </row>
    <row r="12" spans="2:13" ht="15" customHeight="1" x14ac:dyDescent="0.2">
      <c r="B12" s="47" t="s">
        <v>141</v>
      </c>
      <c r="C12" s="44">
        <v>895.5</v>
      </c>
      <c r="D12" s="44">
        <v>9210</v>
      </c>
      <c r="E12" s="44">
        <f>+D12</f>
        <v>9210</v>
      </c>
      <c r="F12" s="44">
        <v>8115.85</v>
      </c>
      <c r="G12" s="39">
        <f t="shared" si="1"/>
        <v>906.29257398101618</v>
      </c>
      <c r="H12" s="39">
        <f t="shared" si="2"/>
        <v>88.119978284473405</v>
      </c>
      <c r="J12" s="129"/>
      <c r="K12" s="129"/>
      <c r="L12" s="129"/>
      <c r="M12" s="129"/>
    </row>
    <row r="13" spans="2:13" x14ac:dyDescent="0.2">
      <c r="B13" s="7" t="s">
        <v>142</v>
      </c>
      <c r="C13" s="45">
        <f>C16+C18+C14+C15+C19+C17</f>
        <v>156130.99</v>
      </c>
      <c r="D13" s="45">
        <f t="shared" ref="D13:F13" si="5">D16+D18+D14+D15+D19+D17</f>
        <v>5378326</v>
      </c>
      <c r="E13" s="45">
        <f t="shared" si="5"/>
        <v>5378326</v>
      </c>
      <c r="F13" s="45">
        <f t="shared" si="5"/>
        <v>76170.290000000008</v>
      </c>
      <c r="G13" s="46">
        <f t="shared" si="1"/>
        <v>48.786144249773869</v>
      </c>
      <c r="H13" s="46">
        <f t="shared" si="2"/>
        <v>1.4162453149920629</v>
      </c>
      <c r="J13" s="129"/>
      <c r="K13" s="129"/>
      <c r="L13" s="129"/>
      <c r="M13" s="129"/>
    </row>
    <row r="14" spans="2:13" x14ac:dyDescent="0.2">
      <c r="B14" s="47" t="s">
        <v>295</v>
      </c>
      <c r="C14" s="44">
        <v>0</v>
      </c>
      <c r="D14" s="44">
        <v>100000</v>
      </c>
      <c r="E14" s="44">
        <f t="shared" ref="E14:E19" si="6">+D14</f>
        <v>100000</v>
      </c>
      <c r="F14" s="44">
        <v>24802.94</v>
      </c>
      <c r="G14" s="46" t="e">
        <f t="shared" si="1"/>
        <v>#DIV/0!</v>
      </c>
      <c r="H14" s="46">
        <f t="shared" ref="H14:H15" si="7">F14/E14*100</f>
        <v>24.80294</v>
      </c>
      <c r="J14" s="129"/>
      <c r="K14" s="129"/>
      <c r="L14" s="129"/>
      <c r="M14" s="129"/>
    </row>
    <row r="15" spans="2:13" x14ac:dyDescent="0.2">
      <c r="B15" s="47" t="s">
        <v>290</v>
      </c>
      <c r="C15" s="44">
        <v>0</v>
      </c>
      <c r="D15" s="44">
        <v>7548</v>
      </c>
      <c r="E15" s="44">
        <f t="shared" si="6"/>
        <v>7548</v>
      </c>
      <c r="F15" s="44">
        <v>0</v>
      </c>
      <c r="G15" s="46" t="e">
        <f t="shared" si="1"/>
        <v>#DIV/0!</v>
      </c>
      <c r="H15" s="46">
        <f t="shared" si="7"/>
        <v>0</v>
      </c>
      <c r="J15" s="129"/>
      <c r="K15" s="129"/>
      <c r="L15" s="129"/>
      <c r="M15" s="129"/>
    </row>
    <row r="16" spans="2:13" x14ac:dyDescent="0.2">
      <c r="B16" s="47" t="s">
        <v>143</v>
      </c>
      <c r="C16" s="44">
        <v>156130.99</v>
      </c>
      <c r="D16" s="44">
        <v>420670</v>
      </c>
      <c r="E16" s="44">
        <f t="shared" si="6"/>
        <v>420670</v>
      </c>
      <c r="F16" s="44">
        <v>22224.71</v>
      </c>
      <c r="G16" s="46">
        <f t="shared" si="1"/>
        <v>14.234656425351561</v>
      </c>
      <c r="H16" s="39">
        <f t="shared" si="2"/>
        <v>5.2831697054698461</v>
      </c>
      <c r="J16" s="129"/>
      <c r="K16" s="129"/>
      <c r="L16" s="129"/>
      <c r="M16" s="129"/>
    </row>
    <row r="17" spans="2:13" ht="25.5" x14ac:dyDescent="0.2">
      <c r="B17" s="47" t="s">
        <v>296</v>
      </c>
      <c r="C17" s="44">
        <v>0</v>
      </c>
      <c r="D17" s="44">
        <v>1262324</v>
      </c>
      <c r="E17" s="44">
        <f t="shared" si="6"/>
        <v>1262324</v>
      </c>
      <c r="F17" s="44">
        <v>8229.68</v>
      </c>
      <c r="G17" s="46" t="e">
        <f t="shared" si="1"/>
        <v>#DIV/0!</v>
      </c>
      <c r="H17" s="39">
        <f t="shared" si="2"/>
        <v>0.65194672683082955</v>
      </c>
      <c r="J17" s="129"/>
      <c r="K17" s="129"/>
      <c r="L17" s="129"/>
      <c r="M17" s="129"/>
    </row>
    <row r="18" spans="2:13" ht="28.5" customHeight="1" x14ac:dyDescent="0.2">
      <c r="B18" s="47" t="s">
        <v>291</v>
      </c>
      <c r="C18" s="44">
        <v>0</v>
      </c>
      <c r="D18" s="44">
        <v>30000</v>
      </c>
      <c r="E18" s="44">
        <f t="shared" si="6"/>
        <v>30000</v>
      </c>
      <c r="F18" s="44">
        <v>20912.96</v>
      </c>
      <c r="G18" s="39" t="e">
        <f t="shared" si="1"/>
        <v>#DIV/0!</v>
      </c>
      <c r="H18" s="39">
        <f t="shared" si="2"/>
        <v>69.70986666666667</v>
      </c>
      <c r="J18" s="129"/>
      <c r="K18" s="129"/>
      <c r="L18" s="129"/>
      <c r="M18" s="129"/>
    </row>
    <row r="19" spans="2:13" ht="28.5" customHeight="1" x14ac:dyDescent="0.2">
      <c r="B19" s="47" t="s">
        <v>292</v>
      </c>
      <c r="C19" s="44">
        <v>0</v>
      </c>
      <c r="D19" s="44">
        <v>3557784</v>
      </c>
      <c r="E19" s="44">
        <f t="shared" si="6"/>
        <v>3557784</v>
      </c>
      <c r="F19" s="44">
        <v>0</v>
      </c>
      <c r="G19" s="39" t="e">
        <f t="shared" si="1"/>
        <v>#DIV/0!</v>
      </c>
      <c r="H19" s="39">
        <f t="shared" si="2"/>
        <v>0</v>
      </c>
    </row>
    <row r="20" spans="2:13" ht="15.75" customHeight="1" x14ac:dyDescent="0.2">
      <c r="B20" s="7" t="s">
        <v>144</v>
      </c>
      <c r="C20" s="45">
        <f>C21</f>
        <v>15853.26</v>
      </c>
      <c r="D20" s="45">
        <f t="shared" ref="D20:F20" si="8">D21</f>
        <v>0</v>
      </c>
      <c r="E20" s="45">
        <f t="shared" si="8"/>
        <v>0</v>
      </c>
      <c r="F20" s="45">
        <f t="shared" si="8"/>
        <v>0</v>
      </c>
      <c r="G20" s="46">
        <f t="shared" si="1"/>
        <v>0</v>
      </c>
      <c r="H20" s="46" t="e">
        <f t="shared" si="2"/>
        <v>#DIV/0!</v>
      </c>
    </row>
    <row r="21" spans="2:13" ht="15" customHeight="1" x14ac:dyDescent="0.2">
      <c r="B21" s="47" t="s">
        <v>145</v>
      </c>
      <c r="C21" s="44">
        <v>15853.26</v>
      </c>
      <c r="D21" s="44">
        <v>0</v>
      </c>
      <c r="E21" s="44">
        <v>0</v>
      </c>
      <c r="F21" s="44"/>
      <c r="G21" s="39">
        <f t="shared" si="1"/>
        <v>0</v>
      </c>
      <c r="H21" s="39" t="e">
        <f t="shared" si="2"/>
        <v>#DIV/0!</v>
      </c>
    </row>
    <row r="22" spans="2:13" ht="47.25" customHeight="1" x14ac:dyDescent="0.2">
      <c r="B22" s="7" t="s">
        <v>146</v>
      </c>
      <c r="C22" s="45">
        <f>C23</f>
        <v>0</v>
      </c>
      <c r="D22" s="45">
        <f t="shared" ref="D22:F22" si="9">D23</f>
        <v>0</v>
      </c>
      <c r="E22" s="45">
        <f t="shared" si="9"/>
        <v>0</v>
      </c>
      <c r="F22" s="45">
        <f t="shared" si="9"/>
        <v>0</v>
      </c>
      <c r="G22" s="46" t="e">
        <f t="shared" si="1"/>
        <v>#DIV/0!</v>
      </c>
      <c r="H22" s="46" t="e">
        <f t="shared" si="2"/>
        <v>#DIV/0!</v>
      </c>
    </row>
    <row r="23" spans="2:13" ht="42" customHeight="1" x14ac:dyDescent="0.2">
      <c r="B23" s="47" t="s">
        <v>147</v>
      </c>
      <c r="C23" s="44">
        <v>0</v>
      </c>
      <c r="D23" s="44">
        <v>0</v>
      </c>
      <c r="E23" s="44">
        <v>0</v>
      </c>
      <c r="F23" s="44">
        <v>0</v>
      </c>
      <c r="G23" s="39" t="e">
        <f t="shared" si="1"/>
        <v>#DIV/0!</v>
      </c>
      <c r="H23" s="39" t="e">
        <f t="shared" si="2"/>
        <v>#DIV/0!</v>
      </c>
    </row>
    <row r="24" spans="2:13" ht="19.5" customHeight="1" x14ac:dyDescent="0.2">
      <c r="B24" s="47"/>
      <c r="C24" s="44"/>
      <c r="D24" s="44"/>
      <c r="E24" s="44"/>
      <c r="F24" s="44"/>
      <c r="G24" s="39"/>
      <c r="H24" s="39"/>
    </row>
    <row r="25" spans="2:13" ht="15.75" customHeight="1" x14ac:dyDescent="0.2">
      <c r="B25" s="7" t="s">
        <v>42</v>
      </c>
      <c r="C25" s="37">
        <f>C26+C28+C30+C32+C39+C41</f>
        <v>481741.76</v>
      </c>
      <c r="D25" s="37">
        <f>D26+D28+D30+D32+D39+D41</f>
        <v>6217536</v>
      </c>
      <c r="E25" s="37">
        <f>E26+E28+E30+E32+E39+E41</f>
        <v>6217536</v>
      </c>
      <c r="F25" s="37">
        <f>F26+F28+F30+F32+F39+F41</f>
        <v>446572.75999999995</v>
      </c>
      <c r="G25" s="46">
        <f>F25/C25*100</f>
        <v>92.699615661303667</v>
      </c>
      <c r="H25" s="46">
        <f>F25/E25*100</f>
        <v>7.1824716414991396</v>
      </c>
      <c r="I25" s="93">
        <f>SAŽETAK!G22-'Rashodi prema izvorima finan'!C25</f>
        <v>0</v>
      </c>
      <c r="J25" s="93">
        <f>SAŽETAK!H22-'Rashodi prema izvorima finan'!D25</f>
        <v>0</v>
      </c>
      <c r="K25" s="93">
        <f>SAŽETAK!I22-'Rashodi prema izvorima finan'!E25</f>
        <v>0</v>
      </c>
      <c r="L25" s="93">
        <f>SAŽETAK!J22-'Rashodi prema izvorima finan'!F25</f>
        <v>0</v>
      </c>
    </row>
    <row r="26" spans="2:13" ht="15.75" customHeight="1" x14ac:dyDescent="0.2">
      <c r="B26" s="7" t="s">
        <v>14</v>
      </c>
      <c r="C26" s="52">
        <f>SUM(C27)</f>
        <v>296712.74</v>
      </c>
      <c r="D26" s="52">
        <f>SUM(D27)</f>
        <v>800000</v>
      </c>
      <c r="E26" s="52">
        <f t="shared" ref="E26:F26" si="10">SUM(E27)</f>
        <v>800000</v>
      </c>
      <c r="F26" s="52">
        <f t="shared" si="10"/>
        <v>352967.11</v>
      </c>
      <c r="G26" s="46">
        <f t="shared" ref="G26:G42" si="11">F26/C26*100</f>
        <v>118.95920276291474</v>
      </c>
      <c r="H26" s="46">
        <f t="shared" ref="H26:H42" si="12">F26/E26*100</f>
        <v>44.120888749999999</v>
      </c>
    </row>
    <row r="27" spans="2:13" x14ac:dyDescent="0.2">
      <c r="B27" s="13" t="s">
        <v>15</v>
      </c>
      <c r="C27" s="48">
        <v>296712.74</v>
      </c>
      <c r="D27" s="49">
        <f>781500+18500</f>
        <v>800000</v>
      </c>
      <c r="E27" s="49">
        <f>+D27</f>
        <v>800000</v>
      </c>
      <c r="F27" s="49">
        <v>352967.11</v>
      </c>
      <c r="G27" s="46">
        <f t="shared" si="11"/>
        <v>118.95920276291474</v>
      </c>
      <c r="H27" s="46">
        <f t="shared" si="12"/>
        <v>44.120888749999999</v>
      </c>
    </row>
    <row r="28" spans="2:13" x14ac:dyDescent="0.2">
      <c r="B28" s="7" t="s">
        <v>16</v>
      </c>
      <c r="C28" s="52">
        <f>SUM(C29)</f>
        <v>13044.77</v>
      </c>
      <c r="D28" s="52">
        <f t="shared" ref="D28:F28" si="13">SUM(D29)</f>
        <v>30000</v>
      </c>
      <c r="E28" s="52">
        <f t="shared" si="13"/>
        <v>30000</v>
      </c>
      <c r="F28" s="52">
        <f t="shared" si="13"/>
        <v>0</v>
      </c>
      <c r="G28" s="46">
        <f t="shared" si="11"/>
        <v>0</v>
      </c>
      <c r="H28" s="46">
        <f t="shared" si="12"/>
        <v>0</v>
      </c>
    </row>
    <row r="29" spans="2:13" x14ac:dyDescent="0.2">
      <c r="B29" s="14" t="s">
        <v>17</v>
      </c>
      <c r="C29" s="48">
        <v>13044.77</v>
      </c>
      <c r="D29" s="49">
        <v>30000</v>
      </c>
      <c r="E29" s="49">
        <f>+D29</f>
        <v>30000</v>
      </c>
      <c r="F29" s="49">
        <v>0</v>
      </c>
      <c r="G29" s="46">
        <f t="shared" si="11"/>
        <v>0</v>
      </c>
      <c r="H29" s="46">
        <f t="shared" si="12"/>
        <v>0</v>
      </c>
    </row>
    <row r="30" spans="2:13" x14ac:dyDescent="0.2">
      <c r="B30" s="7" t="s">
        <v>140</v>
      </c>
      <c r="C30" s="52">
        <f>C31</f>
        <v>0</v>
      </c>
      <c r="D30" s="52">
        <f t="shared" ref="D30:F30" si="14">D31</f>
        <v>9210</v>
      </c>
      <c r="E30" s="52">
        <f t="shared" si="14"/>
        <v>9210</v>
      </c>
      <c r="F30" s="52">
        <f t="shared" si="14"/>
        <v>7244.16</v>
      </c>
      <c r="G30" s="46" t="e">
        <f t="shared" si="11"/>
        <v>#DIV/0!</v>
      </c>
      <c r="H30" s="46">
        <f t="shared" si="12"/>
        <v>78.655374592833866</v>
      </c>
    </row>
    <row r="31" spans="2:13" x14ac:dyDescent="0.2">
      <c r="B31" s="47" t="s">
        <v>141</v>
      </c>
      <c r="C31" s="48">
        <v>0</v>
      </c>
      <c r="D31" s="49">
        <v>9210</v>
      </c>
      <c r="E31" s="49">
        <f>+D31</f>
        <v>9210</v>
      </c>
      <c r="F31" s="49">
        <v>7244.16</v>
      </c>
      <c r="G31" s="46" t="e">
        <f t="shared" si="11"/>
        <v>#DIV/0!</v>
      </c>
      <c r="H31" s="46">
        <f t="shared" si="12"/>
        <v>78.655374592833866</v>
      </c>
    </row>
    <row r="32" spans="2:13" x14ac:dyDescent="0.2">
      <c r="B32" s="7" t="s">
        <v>142</v>
      </c>
      <c r="C32" s="52">
        <f>SUM(C33:C38)</f>
        <v>156130.99</v>
      </c>
      <c r="D32" s="52">
        <f>SUM(D33:D38)</f>
        <v>5378326</v>
      </c>
      <c r="E32" s="52">
        <f>SUM(E33:E38)</f>
        <v>5378326</v>
      </c>
      <c r="F32" s="52">
        <f>SUM(F33:F38)</f>
        <v>86361.489999999991</v>
      </c>
      <c r="G32" s="46">
        <f t="shared" si="11"/>
        <v>55.313483889393133</v>
      </c>
      <c r="H32" s="46">
        <f t="shared" si="12"/>
        <v>1.6057317834582727</v>
      </c>
    </row>
    <row r="33" spans="2:11" x14ac:dyDescent="0.2">
      <c r="B33" s="47" t="s">
        <v>295</v>
      </c>
      <c r="C33" s="48">
        <v>0</v>
      </c>
      <c r="D33" s="118">
        <v>100000</v>
      </c>
      <c r="E33" s="48">
        <f t="shared" ref="E33:E38" si="15">+D33</f>
        <v>100000</v>
      </c>
      <c r="F33" s="48">
        <v>24802.94</v>
      </c>
      <c r="G33" s="46" t="e">
        <f t="shared" ref="G33:G35" si="16">F33/C33*100</f>
        <v>#DIV/0!</v>
      </c>
      <c r="H33" s="46">
        <f t="shared" ref="H33:H35" si="17">F33/E33*100</f>
        <v>24.80294</v>
      </c>
    </row>
    <row r="34" spans="2:11" x14ac:dyDescent="0.2">
      <c r="B34" s="47" t="s">
        <v>290</v>
      </c>
      <c r="C34" s="48">
        <v>0</v>
      </c>
      <c r="D34" s="118">
        <v>7548</v>
      </c>
      <c r="E34" s="48">
        <f t="shared" si="15"/>
        <v>7548</v>
      </c>
      <c r="F34" s="48">
        <v>0</v>
      </c>
      <c r="G34" s="46" t="e">
        <f t="shared" si="16"/>
        <v>#DIV/0!</v>
      </c>
      <c r="H34" s="46">
        <f t="shared" si="17"/>
        <v>0</v>
      </c>
    </row>
    <row r="35" spans="2:11" x14ac:dyDescent="0.2">
      <c r="B35" s="47" t="s">
        <v>143</v>
      </c>
      <c r="C35" s="48">
        <v>156130.99</v>
      </c>
      <c r="D35" s="119">
        <v>420670</v>
      </c>
      <c r="E35" s="49">
        <f t="shared" si="15"/>
        <v>420670</v>
      </c>
      <c r="F35" s="49">
        <v>32415.91</v>
      </c>
      <c r="G35" s="46">
        <f t="shared" si="16"/>
        <v>20.76199606497083</v>
      </c>
      <c r="H35" s="46">
        <f t="shared" si="17"/>
        <v>7.7057812537143127</v>
      </c>
    </row>
    <row r="36" spans="2:11" ht="25.5" x14ac:dyDescent="0.2">
      <c r="B36" s="47" t="s">
        <v>296</v>
      </c>
      <c r="C36" s="50">
        <v>0</v>
      </c>
      <c r="D36" s="120">
        <v>1262324</v>
      </c>
      <c r="E36" s="50">
        <f t="shared" si="15"/>
        <v>1262324</v>
      </c>
      <c r="F36" s="50">
        <v>8229.68</v>
      </c>
      <c r="G36" s="46" t="e">
        <f t="shared" ref="G36" si="18">F36/C36*100</f>
        <v>#DIV/0!</v>
      </c>
      <c r="H36" s="46">
        <f t="shared" ref="H36" si="19">F36/E36*100</f>
        <v>0.65194672683082955</v>
      </c>
    </row>
    <row r="37" spans="2:11" ht="25.5" x14ac:dyDescent="0.2">
      <c r="B37" s="47" t="s">
        <v>291</v>
      </c>
      <c r="C37" s="50">
        <v>0</v>
      </c>
      <c r="D37" s="121">
        <v>30000</v>
      </c>
      <c r="E37" s="51">
        <f t="shared" si="15"/>
        <v>30000</v>
      </c>
      <c r="F37" s="51">
        <v>20912.96</v>
      </c>
      <c r="G37" s="46" t="e">
        <f t="shared" si="11"/>
        <v>#DIV/0!</v>
      </c>
      <c r="H37" s="46">
        <f t="shared" si="12"/>
        <v>69.70986666666667</v>
      </c>
    </row>
    <row r="38" spans="2:11" x14ac:dyDescent="0.2">
      <c r="B38" s="47" t="s">
        <v>292</v>
      </c>
      <c r="C38" s="50"/>
      <c r="D38" s="120">
        <v>3557784</v>
      </c>
      <c r="E38" s="50">
        <f t="shared" si="15"/>
        <v>3557784</v>
      </c>
      <c r="F38" s="50">
        <v>0</v>
      </c>
      <c r="G38" s="46" t="e">
        <f t="shared" ref="G38:G39" si="20">F38/C38*100</f>
        <v>#DIV/0!</v>
      </c>
      <c r="H38" s="46">
        <f t="shared" ref="H38:H39" si="21">F38/E38*100</f>
        <v>0</v>
      </c>
    </row>
    <row r="39" spans="2:11" ht="15" customHeight="1" x14ac:dyDescent="0.2">
      <c r="B39" s="7" t="s">
        <v>144</v>
      </c>
      <c r="C39" s="52">
        <f>C40</f>
        <v>15853.26</v>
      </c>
      <c r="D39" s="52">
        <f t="shared" ref="D39:F39" si="22">D40</f>
        <v>0</v>
      </c>
      <c r="E39" s="52">
        <f t="shared" si="22"/>
        <v>0</v>
      </c>
      <c r="F39" s="52">
        <f t="shared" si="22"/>
        <v>0</v>
      </c>
      <c r="G39" s="46">
        <f t="shared" si="20"/>
        <v>0</v>
      </c>
      <c r="H39" s="46" t="e">
        <f t="shared" si="21"/>
        <v>#DIV/0!</v>
      </c>
      <c r="I39" s="86"/>
      <c r="J39" s="86"/>
      <c r="K39" s="86"/>
    </row>
    <row r="40" spans="2:11" x14ac:dyDescent="0.2">
      <c r="B40" s="47" t="s">
        <v>145</v>
      </c>
      <c r="C40" s="48">
        <v>15853.26</v>
      </c>
      <c r="D40" s="49">
        <v>0</v>
      </c>
      <c r="E40" s="49">
        <v>0</v>
      </c>
      <c r="F40" s="49"/>
      <c r="G40" s="46">
        <f t="shared" si="11"/>
        <v>0</v>
      </c>
      <c r="H40" s="46" t="e">
        <f t="shared" si="12"/>
        <v>#DIV/0!</v>
      </c>
      <c r="I40" s="86"/>
      <c r="J40" s="86"/>
      <c r="K40" s="86"/>
    </row>
    <row r="41" spans="2:11" ht="38.25" x14ac:dyDescent="0.2">
      <c r="B41" s="7" t="s">
        <v>146</v>
      </c>
      <c r="C41" s="52">
        <f>C42</f>
        <v>0</v>
      </c>
      <c r="D41" s="52">
        <f t="shared" ref="D41:F41" si="23">D42</f>
        <v>0</v>
      </c>
      <c r="E41" s="52">
        <f t="shared" si="23"/>
        <v>0</v>
      </c>
      <c r="F41" s="52">
        <f t="shared" si="23"/>
        <v>0</v>
      </c>
      <c r="G41" s="46" t="e">
        <f t="shared" si="11"/>
        <v>#DIV/0!</v>
      </c>
      <c r="H41" s="46" t="e">
        <f t="shared" si="12"/>
        <v>#DIV/0!</v>
      </c>
      <c r="I41" s="86"/>
      <c r="J41" s="86"/>
      <c r="K41" s="86"/>
    </row>
    <row r="42" spans="2:11" ht="38.25" x14ac:dyDescent="0.2">
      <c r="B42" s="47" t="s">
        <v>147</v>
      </c>
      <c r="C42" s="48">
        <v>0</v>
      </c>
      <c r="D42" s="49">
        <v>0</v>
      </c>
      <c r="E42" s="49">
        <v>0</v>
      </c>
      <c r="F42" s="49">
        <v>0</v>
      </c>
      <c r="G42" s="46" t="e">
        <f t="shared" si="11"/>
        <v>#DIV/0!</v>
      </c>
      <c r="H42" s="46" t="e">
        <f t="shared" si="12"/>
        <v>#DIV/0!</v>
      </c>
    </row>
  </sheetData>
  <mergeCells count="1">
    <mergeCell ref="B2:H2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L8"/>
  <sheetViews>
    <sheetView topLeftCell="C1" workbookViewId="0">
      <selection activeCell="I6" sqref="I6:L6"/>
    </sheetView>
  </sheetViews>
  <sheetFormatPr defaultRowHeight="12.75" x14ac:dyDescent="0.2"/>
  <cols>
    <col min="1" max="1" width="9.140625" style="30"/>
    <col min="2" max="2" width="37.7109375" style="30" customWidth="1"/>
    <col min="3" max="6" width="25.28515625" style="30" customWidth="1"/>
    <col min="7" max="8" width="15.7109375" style="30" customWidth="1"/>
    <col min="9" max="9" width="10.140625" style="30" bestFit="1" customWidth="1"/>
    <col min="10" max="16384" width="9.140625" style="30"/>
  </cols>
  <sheetData>
    <row r="1" spans="2:12" x14ac:dyDescent="0.2">
      <c r="B1" s="32"/>
      <c r="C1" s="32"/>
      <c r="D1" s="32"/>
      <c r="E1" s="32"/>
      <c r="F1" s="4"/>
      <c r="G1" s="4"/>
      <c r="H1" s="4"/>
    </row>
    <row r="2" spans="2:12" ht="15.75" customHeight="1" x14ac:dyDescent="0.2">
      <c r="B2" s="161" t="s">
        <v>35</v>
      </c>
      <c r="C2" s="161"/>
      <c r="D2" s="161"/>
      <c r="E2" s="161"/>
      <c r="F2" s="161"/>
      <c r="G2" s="161"/>
      <c r="H2" s="161"/>
    </row>
    <row r="3" spans="2:12" x14ac:dyDescent="0.2">
      <c r="B3" s="32"/>
      <c r="C3" s="32"/>
      <c r="D3" s="32"/>
      <c r="E3" s="32"/>
      <c r="F3" s="4"/>
      <c r="G3" s="4"/>
      <c r="H3" s="4"/>
    </row>
    <row r="4" spans="2:12" ht="25.5" x14ac:dyDescent="0.2">
      <c r="B4" s="20" t="s">
        <v>6</v>
      </c>
      <c r="C4" s="20" t="s">
        <v>268</v>
      </c>
      <c r="D4" s="20" t="s">
        <v>280</v>
      </c>
      <c r="E4" s="20" t="s">
        <v>281</v>
      </c>
      <c r="F4" s="20" t="s">
        <v>284</v>
      </c>
      <c r="G4" s="20" t="s">
        <v>18</v>
      </c>
      <c r="H4" s="20" t="s">
        <v>44</v>
      </c>
    </row>
    <row r="5" spans="2:12" x14ac:dyDescent="0.2">
      <c r="B5" s="20">
        <v>1</v>
      </c>
      <c r="C5" s="20">
        <v>2</v>
      </c>
      <c r="D5" s="20">
        <v>3</v>
      </c>
      <c r="E5" s="20">
        <v>4</v>
      </c>
      <c r="F5" s="20">
        <v>5</v>
      </c>
      <c r="G5" s="20" t="s">
        <v>31</v>
      </c>
      <c r="H5" s="20" t="s">
        <v>32</v>
      </c>
    </row>
    <row r="6" spans="2:12" ht="15.75" customHeight="1" x14ac:dyDescent="0.2">
      <c r="B6" s="7" t="s">
        <v>42</v>
      </c>
      <c r="C6" s="68">
        <f>SUM(C7)</f>
        <v>481741.76</v>
      </c>
      <c r="D6" s="68">
        <f>SUM(D7)</f>
        <v>6217536</v>
      </c>
      <c r="E6" s="68">
        <f t="shared" ref="E6:F7" si="0">SUM(E7)</f>
        <v>6217536</v>
      </c>
      <c r="F6" s="68">
        <f t="shared" si="0"/>
        <v>446572.76</v>
      </c>
      <c r="G6" s="87">
        <f>F6/C6*100</f>
        <v>92.699615661303682</v>
      </c>
      <c r="H6" s="87">
        <f>F6/E6*100</f>
        <v>7.1824716414991414</v>
      </c>
      <c r="I6" s="93">
        <f>SAŽETAK!G22-C6</f>
        <v>0</v>
      </c>
      <c r="J6" s="93">
        <f>SAŽETAK!H22-D6</f>
        <v>0</v>
      </c>
      <c r="K6" s="93">
        <f>SAŽETAK!I22-E6</f>
        <v>0</v>
      </c>
      <c r="L6" s="93">
        <f>SAŽETAK!J22-F6</f>
        <v>0</v>
      </c>
    </row>
    <row r="7" spans="2:12" x14ac:dyDescent="0.2">
      <c r="B7" s="67" t="s">
        <v>227</v>
      </c>
      <c r="C7" s="69">
        <f>SUM(C8)</f>
        <v>481741.76</v>
      </c>
      <c r="D7" s="69">
        <f>SUM(D8)</f>
        <v>6217536</v>
      </c>
      <c r="E7" s="69">
        <f t="shared" si="0"/>
        <v>6217536</v>
      </c>
      <c r="F7" s="69">
        <f t="shared" si="0"/>
        <v>446572.76</v>
      </c>
      <c r="G7" s="70">
        <f t="shared" ref="G7:G8" si="1">F7/C7*100</f>
        <v>92.699615661303682</v>
      </c>
      <c r="H7" s="70">
        <f t="shared" ref="H7:H8" si="2">F7/E7*100</f>
        <v>7.1824716414991414</v>
      </c>
    </row>
    <row r="8" spans="2:12" x14ac:dyDescent="0.2">
      <c r="B8" s="67" t="s">
        <v>226</v>
      </c>
      <c r="C8" s="69">
        <f>+SAŽETAK!G22</f>
        <v>481741.76</v>
      </c>
      <c r="D8" s="69">
        <f>+SAŽETAK!H22</f>
        <v>6217536</v>
      </c>
      <c r="E8" s="69">
        <f>+SAŽETAK!I22</f>
        <v>6217536</v>
      </c>
      <c r="F8" s="69">
        <f>+SAŽETAK!J22</f>
        <v>446572.76</v>
      </c>
      <c r="G8" s="70">
        <f t="shared" si="1"/>
        <v>92.699615661303682</v>
      </c>
      <c r="H8" s="70">
        <f t="shared" si="2"/>
        <v>7.1824716414991414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14"/>
  <sheetViews>
    <sheetView topLeftCell="A4" workbookViewId="0">
      <selection activeCell="J8" sqref="J8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 x14ac:dyDescent="0.25">
      <c r="B2" s="143" t="s">
        <v>10</v>
      </c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2:12" ht="18" x14ac:dyDescent="0.25">
      <c r="B3" s="3"/>
      <c r="C3" s="3"/>
      <c r="D3" s="3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143" t="s">
        <v>47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</row>
    <row r="5" spans="2:12" ht="15.75" customHeight="1" x14ac:dyDescent="0.25">
      <c r="B5" s="143" t="s">
        <v>36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</row>
    <row r="6" spans="2:12" ht="18" x14ac:dyDescent="0.25">
      <c r="B6" s="3"/>
      <c r="C6" s="3"/>
      <c r="D6" s="3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158" t="s">
        <v>6</v>
      </c>
      <c r="C7" s="159"/>
      <c r="D7" s="159"/>
      <c r="E7" s="159"/>
      <c r="F7" s="160"/>
      <c r="G7" s="22" t="s">
        <v>267</v>
      </c>
      <c r="H7" s="22" t="s">
        <v>280</v>
      </c>
      <c r="I7" s="22" t="s">
        <v>281</v>
      </c>
      <c r="J7" s="22" t="s">
        <v>283</v>
      </c>
      <c r="K7" s="22" t="s">
        <v>18</v>
      </c>
      <c r="L7" s="22" t="s">
        <v>44</v>
      </c>
    </row>
    <row r="8" spans="2:12" x14ac:dyDescent="0.25">
      <c r="B8" s="158">
        <v>1</v>
      </c>
      <c r="C8" s="159"/>
      <c r="D8" s="159"/>
      <c r="E8" s="159"/>
      <c r="F8" s="160"/>
      <c r="G8" s="23">
        <v>2</v>
      </c>
      <c r="H8" s="23">
        <v>3</v>
      </c>
      <c r="I8" s="23">
        <v>4</v>
      </c>
      <c r="J8" s="23">
        <v>5</v>
      </c>
      <c r="K8" s="23" t="s">
        <v>31</v>
      </c>
      <c r="L8" s="23" t="s">
        <v>32</v>
      </c>
    </row>
    <row r="9" spans="2:12" ht="25.5" x14ac:dyDescent="0.25">
      <c r="B9" s="7">
        <v>8</v>
      </c>
      <c r="C9" s="7"/>
      <c r="D9" s="7"/>
      <c r="E9" s="7"/>
      <c r="F9" s="7" t="s">
        <v>7</v>
      </c>
      <c r="G9" s="40">
        <v>0</v>
      </c>
      <c r="H9" s="40">
        <v>0</v>
      </c>
      <c r="I9" s="40">
        <v>0</v>
      </c>
      <c r="J9" s="41">
        <v>0</v>
      </c>
      <c r="K9" s="41">
        <v>0</v>
      </c>
      <c r="L9" s="41">
        <v>0</v>
      </c>
    </row>
    <row r="10" spans="2:12" ht="25.5" x14ac:dyDescent="0.25">
      <c r="B10" s="8">
        <v>5</v>
      </c>
      <c r="C10" s="8"/>
      <c r="D10" s="8"/>
      <c r="E10" s="8"/>
      <c r="F10" s="10" t="s">
        <v>8</v>
      </c>
      <c r="G10" s="5">
        <v>0</v>
      </c>
      <c r="H10" s="5">
        <v>0</v>
      </c>
      <c r="I10" s="5">
        <v>0</v>
      </c>
      <c r="J10" s="18">
        <v>0</v>
      </c>
      <c r="K10" s="18">
        <v>0</v>
      </c>
      <c r="L10" s="18">
        <v>0</v>
      </c>
    </row>
    <row r="12" spans="2:12" x14ac:dyDescent="0.25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spans="2:12" x14ac:dyDescent="0.2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spans="2:12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9"/>
  <sheetViews>
    <sheetView workbookViewId="0">
      <selection activeCell="F5" sqref="F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3"/>
      <c r="C1" s="3"/>
      <c r="D1" s="3"/>
      <c r="E1" s="3"/>
      <c r="F1" s="4"/>
      <c r="G1" s="4"/>
      <c r="H1" s="4"/>
    </row>
    <row r="2" spans="2:8" ht="15.75" customHeight="1" x14ac:dyDescent="0.25">
      <c r="B2" s="143" t="s">
        <v>37</v>
      </c>
      <c r="C2" s="143"/>
      <c r="D2" s="143"/>
      <c r="E2" s="143"/>
      <c r="F2" s="143"/>
      <c r="G2" s="143"/>
      <c r="H2" s="143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25.5" x14ac:dyDescent="0.25">
      <c r="B4" s="20" t="s">
        <v>6</v>
      </c>
      <c r="C4" s="20" t="s">
        <v>264</v>
      </c>
      <c r="D4" s="20" t="s">
        <v>280</v>
      </c>
      <c r="E4" s="20" t="s">
        <v>281</v>
      </c>
      <c r="F4" s="20" t="s">
        <v>282</v>
      </c>
      <c r="G4" s="20" t="s">
        <v>18</v>
      </c>
      <c r="H4" s="20" t="s">
        <v>44</v>
      </c>
    </row>
    <row r="5" spans="2:8" x14ac:dyDescent="0.25">
      <c r="B5" s="20">
        <v>1</v>
      </c>
      <c r="C5" s="20">
        <v>2</v>
      </c>
      <c r="D5" s="20">
        <v>3</v>
      </c>
      <c r="E5" s="20">
        <v>4</v>
      </c>
      <c r="F5" s="20">
        <v>5</v>
      </c>
      <c r="G5" s="20" t="s">
        <v>31</v>
      </c>
      <c r="H5" s="20" t="s">
        <v>32</v>
      </c>
    </row>
    <row r="6" spans="2:8" x14ac:dyDescent="0.25">
      <c r="B6" s="7" t="s">
        <v>39</v>
      </c>
      <c r="C6" s="5">
        <v>0</v>
      </c>
      <c r="D6" s="5">
        <v>0</v>
      </c>
      <c r="E6" s="6">
        <v>0</v>
      </c>
      <c r="F6" s="18">
        <v>0</v>
      </c>
      <c r="G6" s="18">
        <v>0</v>
      </c>
      <c r="H6" s="18">
        <v>0</v>
      </c>
    </row>
    <row r="7" spans="2:8" ht="15.75" customHeight="1" x14ac:dyDescent="0.25">
      <c r="B7" s="7" t="s">
        <v>40</v>
      </c>
      <c r="C7" s="5">
        <v>0</v>
      </c>
      <c r="D7" s="5">
        <v>0</v>
      </c>
      <c r="E7" s="6">
        <v>0</v>
      </c>
      <c r="F7" s="18">
        <v>0</v>
      </c>
      <c r="G7" s="18">
        <v>0</v>
      </c>
      <c r="H7" s="18">
        <v>0</v>
      </c>
    </row>
    <row r="9" spans="2:8" x14ac:dyDescent="0.25">
      <c r="B9" s="25"/>
      <c r="C9" s="25"/>
      <c r="D9" s="25"/>
      <c r="E9" s="25"/>
      <c r="F9" s="25"/>
      <c r="G9" s="25"/>
      <c r="H9" s="2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146"/>
  <sheetViews>
    <sheetView view="pageBreakPreview" topLeftCell="A2" zoomScale="60" zoomScaleNormal="100" workbookViewId="0">
      <selection activeCell="G37" sqref="G37"/>
    </sheetView>
  </sheetViews>
  <sheetFormatPr defaultRowHeight="12.75" x14ac:dyDescent="0.2"/>
  <cols>
    <col min="1" max="1" width="9.140625" style="30"/>
    <col min="2" max="2" width="7.42578125" style="30" bestFit="1" customWidth="1"/>
    <col min="3" max="3" width="8.140625" style="30" customWidth="1"/>
    <col min="4" max="4" width="51.42578125" style="30" customWidth="1"/>
    <col min="5" max="7" width="24.28515625" style="30" customWidth="1"/>
    <col min="8" max="8" width="15.7109375" style="30" customWidth="1"/>
    <col min="9" max="9" width="12.28515625" style="30" bestFit="1" customWidth="1"/>
    <col min="10" max="10" width="12" style="30" customWidth="1"/>
    <col min="11" max="11" width="10.140625" style="30" bestFit="1" customWidth="1"/>
    <col min="12" max="16384" width="9.140625" style="30"/>
  </cols>
  <sheetData>
    <row r="1" spans="2:12" x14ac:dyDescent="0.2">
      <c r="B1" s="33"/>
      <c r="C1" s="33"/>
      <c r="D1" s="33"/>
      <c r="E1" s="33"/>
      <c r="F1" s="33"/>
      <c r="G1" s="33"/>
      <c r="H1" s="4"/>
    </row>
    <row r="2" spans="2:12" ht="18" customHeight="1" x14ac:dyDescent="0.2">
      <c r="B2" s="143" t="s">
        <v>9</v>
      </c>
      <c r="C2" s="143"/>
      <c r="D2" s="143"/>
      <c r="E2" s="143"/>
      <c r="F2" s="143"/>
      <c r="G2" s="143"/>
      <c r="H2" s="143"/>
    </row>
    <row r="3" spans="2:12" ht="15.75" x14ac:dyDescent="0.2">
      <c r="B3" s="24"/>
      <c r="C3" s="24"/>
      <c r="D3" s="24"/>
      <c r="E3" s="24"/>
      <c r="F3" s="24"/>
      <c r="G3" s="24"/>
      <c r="H3" s="16"/>
    </row>
    <row r="4" spans="2:12" ht="15.75" x14ac:dyDescent="0.25">
      <c r="B4" s="180" t="s">
        <v>50</v>
      </c>
      <c r="C4" s="180"/>
      <c r="D4" s="180"/>
      <c r="E4" s="180"/>
      <c r="F4" s="180"/>
      <c r="G4" s="180"/>
      <c r="H4" s="180"/>
    </row>
    <row r="5" spans="2:12" x14ac:dyDescent="0.2">
      <c r="B5" s="33"/>
      <c r="C5" s="33"/>
      <c r="D5" s="33"/>
      <c r="E5" s="33"/>
      <c r="F5" s="33"/>
      <c r="G5" s="33"/>
      <c r="H5" s="4"/>
    </row>
    <row r="6" spans="2:12" ht="25.5" x14ac:dyDescent="0.2">
      <c r="B6" s="181" t="s">
        <v>6</v>
      </c>
      <c r="C6" s="182"/>
      <c r="D6" s="183"/>
      <c r="E6" s="76" t="s">
        <v>280</v>
      </c>
      <c r="F6" s="76" t="s">
        <v>281</v>
      </c>
      <c r="G6" s="76" t="s">
        <v>284</v>
      </c>
      <c r="H6" s="76" t="s">
        <v>44</v>
      </c>
      <c r="J6" s="129"/>
    </row>
    <row r="7" spans="2:12" x14ac:dyDescent="0.2">
      <c r="B7" s="181">
        <v>1</v>
      </c>
      <c r="C7" s="182"/>
      <c r="D7" s="183"/>
      <c r="E7" s="76">
        <v>2</v>
      </c>
      <c r="F7" s="76">
        <v>3</v>
      </c>
      <c r="G7" s="76">
        <v>4</v>
      </c>
      <c r="H7" s="76" t="s">
        <v>38</v>
      </c>
    </row>
    <row r="8" spans="2:12" ht="15" x14ac:dyDescent="0.2">
      <c r="B8" s="176">
        <v>7715</v>
      </c>
      <c r="C8" s="177"/>
      <c r="D8" s="88" t="s">
        <v>249</v>
      </c>
      <c r="E8" s="55">
        <f>E9</f>
        <v>6217536</v>
      </c>
      <c r="F8" s="55">
        <f>F9</f>
        <v>6217536</v>
      </c>
      <c r="G8" s="55">
        <f>G9</f>
        <v>446572.75999999995</v>
      </c>
      <c r="H8" s="55">
        <f>H9</f>
        <v>7.1824716414991396</v>
      </c>
      <c r="I8" s="93">
        <f>SAŽETAK!H22-E8</f>
        <v>0</v>
      </c>
      <c r="J8" s="93">
        <f>SAŽETAK!I22-F8</f>
        <v>0</v>
      </c>
      <c r="K8" s="93">
        <f>SAŽETAK!J22-G8</f>
        <v>0</v>
      </c>
      <c r="L8" s="93"/>
    </row>
    <row r="9" spans="2:12" ht="28.5" customHeight="1" x14ac:dyDescent="0.2">
      <c r="B9" s="178">
        <v>26539</v>
      </c>
      <c r="C9" s="179"/>
      <c r="D9" s="75" t="s">
        <v>256</v>
      </c>
      <c r="E9" s="42">
        <f>E10+E12+E14+E16+E22+E24</f>
        <v>6217536</v>
      </c>
      <c r="F9" s="42">
        <f t="shared" ref="F9" si="0">F10+F12+F14+F16+F22+F24</f>
        <v>6217536</v>
      </c>
      <c r="G9" s="42">
        <f>G10+G12+G14+G16+G22+G24</f>
        <v>446572.75999999995</v>
      </c>
      <c r="H9" s="43">
        <f>G9/F9*100</f>
        <v>7.1824716414991396</v>
      </c>
      <c r="I9" s="93"/>
      <c r="J9" s="93"/>
    </row>
    <row r="10" spans="2:12" ht="15.75" customHeight="1" x14ac:dyDescent="0.2">
      <c r="B10" s="196" t="s">
        <v>228</v>
      </c>
      <c r="C10" s="197"/>
      <c r="D10" s="75" t="s">
        <v>229</v>
      </c>
      <c r="E10" s="42">
        <f>E11</f>
        <v>800000</v>
      </c>
      <c r="F10" s="42">
        <f t="shared" ref="F10" si="1">F11</f>
        <v>800000</v>
      </c>
      <c r="G10" s="42">
        <f>G11</f>
        <v>352967.11</v>
      </c>
      <c r="H10" s="43">
        <f t="shared" ref="H10:H78" si="2">G10/F10*100</f>
        <v>44.120888749999999</v>
      </c>
      <c r="I10" s="93"/>
    </row>
    <row r="11" spans="2:12" ht="15.75" customHeight="1" x14ac:dyDescent="0.2">
      <c r="B11" s="189" t="s">
        <v>230</v>
      </c>
      <c r="C11" s="190"/>
      <c r="D11" s="73" t="s">
        <v>245</v>
      </c>
      <c r="E11" s="71">
        <f>E30+E63</f>
        <v>800000</v>
      </c>
      <c r="F11" s="71">
        <f>F30+F63</f>
        <v>800000</v>
      </c>
      <c r="G11" s="71">
        <f>G30+G61</f>
        <v>352967.11</v>
      </c>
      <c r="H11" s="72">
        <f t="shared" si="2"/>
        <v>44.120888749999999</v>
      </c>
      <c r="I11" s="93"/>
      <c r="K11" s="93"/>
    </row>
    <row r="12" spans="2:12" ht="15.75" customHeight="1" x14ac:dyDescent="0.2">
      <c r="B12" s="178" t="s">
        <v>232</v>
      </c>
      <c r="C12" s="184"/>
      <c r="D12" s="75" t="s">
        <v>231</v>
      </c>
      <c r="E12" s="42">
        <f>E13</f>
        <v>30000</v>
      </c>
      <c r="F12" s="42">
        <f t="shared" ref="F12" si="3">F13</f>
        <v>30000</v>
      </c>
      <c r="G12" s="42">
        <f>G13</f>
        <v>0</v>
      </c>
      <c r="H12" s="43">
        <f t="shared" si="2"/>
        <v>0</v>
      </c>
      <c r="I12" s="93"/>
      <c r="J12" s="93"/>
    </row>
    <row r="13" spans="2:12" ht="15.75" customHeight="1" x14ac:dyDescent="0.2">
      <c r="B13" s="185" t="s">
        <v>233</v>
      </c>
      <c r="C13" s="186"/>
      <c r="D13" s="78" t="s">
        <v>231</v>
      </c>
      <c r="E13" s="71">
        <f>E68</f>
        <v>30000</v>
      </c>
      <c r="F13" s="71">
        <f t="shared" ref="F13:G13" si="4">F68</f>
        <v>30000</v>
      </c>
      <c r="G13" s="71">
        <f t="shared" si="4"/>
        <v>0</v>
      </c>
      <c r="H13" s="72">
        <f t="shared" si="2"/>
        <v>0</v>
      </c>
      <c r="I13" s="93"/>
    </row>
    <row r="14" spans="2:12" ht="16.5" customHeight="1" x14ac:dyDescent="0.2">
      <c r="B14" s="178" t="s">
        <v>234</v>
      </c>
      <c r="C14" s="184"/>
      <c r="D14" s="7" t="s">
        <v>318</v>
      </c>
      <c r="E14" s="42">
        <f>E15</f>
        <v>9210</v>
      </c>
      <c r="F14" s="42">
        <f>F15</f>
        <v>9210</v>
      </c>
      <c r="G14" s="42">
        <f t="shared" ref="G14" si="5">G15</f>
        <v>7244.1600000000008</v>
      </c>
      <c r="H14" s="43">
        <f t="shared" si="2"/>
        <v>78.65537459283388</v>
      </c>
      <c r="I14" s="93"/>
    </row>
    <row r="15" spans="2:12" ht="15.75" customHeight="1" x14ac:dyDescent="0.2">
      <c r="B15" s="185" t="s">
        <v>257</v>
      </c>
      <c r="C15" s="186"/>
      <c r="D15" s="9" t="s">
        <v>246</v>
      </c>
      <c r="E15" s="71">
        <f>E85</f>
        <v>9210</v>
      </c>
      <c r="F15" s="71">
        <f>F85</f>
        <v>9210</v>
      </c>
      <c r="G15" s="71">
        <f>G85</f>
        <v>7244.1600000000008</v>
      </c>
      <c r="H15" s="72">
        <f t="shared" si="2"/>
        <v>78.65537459283388</v>
      </c>
      <c r="I15" s="93"/>
    </row>
    <row r="16" spans="2:12" ht="15.75" customHeight="1" x14ac:dyDescent="0.2">
      <c r="B16" s="178" t="s">
        <v>235</v>
      </c>
      <c r="C16" s="184"/>
      <c r="D16" s="75" t="s">
        <v>241</v>
      </c>
      <c r="E16" s="42">
        <f>E19+E17+E18+E20+E21</f>
        <v>5378326</v>
      </c>
      <c r="F16" s="42">
        <f t="shared" ref="F16" si="6">F19+F17+F18+F20+F21</f>
        <v>5378326</v>
      </c>
      <c r="G16" s="42">
        <f>G19+G17+G18+G20+G21</f>
        <v>86361.49</v>
      </c>
      <c r="H16" s="43">
        <f t="shared" si="2"/>
        <v>1.6057317834582732</v>
      </c>
      <c r="I16" s="93"/>
    </row>
    <row r="17" spans="2:11" ht="15.75" customHeight="1" x14ac:dyDescent="0.2">
      <c r="B17" s="185" t="s">
        <v>304</v>
      </c>
      <c r="C17" s="186"/>
      <c r="D17" s="73" t="s">
        <v>308</v>
      </c>
      <c r="E17" s="71">
        <f>+E91</f>
        <v>100000</v>
      </c>
      <c r="F17" s="71">
        <f>+E17</f>
        <v>100000</v>
      </c>
      <c r="G17" s="71">
        <f>+G91</f>
        <v>24802.940000000002</v>
      </c>
      <c r="H17" s="43">
        <f t="shared" si="2"/>
        <v>24.80294</v>
      </c>
      <c r="I17" s="93"/>
    </row>
    <row r="18" spans="2:11" ht="15.75" customHeight="1" x14ac:dyDescent="0.2">
      <c r="B18" s="185" t="s">
        <v>305</v>
      </c>
      <c r="C18" s="186"/>
      <c r="D18" s="73" t="s">
        <v>307</v>
      </c>
      <c r="E18" s="71">
        <f>+E99</f>
        <v>7548</v>
      </c>
      <c r="F18" s="71">
        <f>+E18</f>
        <v>7548</v>
      </c>
      <c r="G18" s="71">
        <f>+G99</f>
        <v>0</v>
      </c>
      <c r="H18" s="43">
        <f t="shared" si="2"/>
        <v>0</v>
      </c>
      <c r="I18" s="93"/>
    </row>
    <row r="19" spans="2:11" ht="15.75" customHeight="1" x14ac:dyDescent="0.2">
      <c r="B19" s="185" t="s">
        <v>236</v>
      </c>
      <c r="C19" s="186"/>
      <c r="D19" s="122" t="s">
        <v>247</v>
      </c>
      <c r="E19" s="71">
        <f>E101</f>
        <v>420670</v>
      </c>
      <c r="F19" s="71">
        <f>F101</f>
        <v>420670</v>
      </c>
      <c r="G19" s="71">
        <f>G101</f>
        <v>32415.91</v>
      </c>
      <c r="H19" s="43">
        <f t="shared" si="2"/>
        <v>7.7057812537143127</v>
      </c>
      <c r="I19" s="93"/>
    </row>
    <row r="20" spans="2:11" ht="15.75" customHeight="1" x14ac:dyDescent="0.2">
      <c r="B20" s="185" t="s">
        <v>310</v>
      </c>
      <c r="C20" s="186"/>
      <c r="D20" s="122" t="s">
        <v>311</v>
      </c>
      <c r="E20" s="71">
        <f>+E134+E142</f>
        <v>1292324</v>
      </c>
      <c r="F20" s="71">
        <f>+E20</f>
        <v>1292324</v>
      </c>
      <c r="G20" s="71">
        <f>+G134+G142</f>
        <v>29142.639999999999</v>
      </c>
      <c r="H20" s="43">
        <f t="shared" si="2"/>
        <v>2.2550567814263296</v>
      </c>
      <c r="I20" s="93"/>
    </row>
    <row r="21" spans="2:11" ht="15.75" customHeight="1" x14ac:dyDescent="0.2">
      <c r="B21" s="185" t="s">
        <v>306</v>
      </c>
      <c r="C21" s="186"/>
      <c r="D21" s="73" t="s">
        <v>309</v>
      </c>
      <c r="E21" s="71">
        <f>+E120</f>
        <v>3557784</v>
      </c>
      <c r="F21" s="71">
        <f>+E21</f>
        <v>3557784</v>
      </c>
      <c r="G21" s="71">
        <f>+G121</f>
        <v>0</v>
      </c>
      <c r="H21" s="43">
        <f t="shared" si="2"/>
        <v>0</v>
      </c>
      <c r="I21" s="93"/>
    </row>
    <row r="22" spans="2:11" ht="15.75" customHeight="1" x14ac:dyDescent="0.2">
      <c r="B22" s="196" t="s">
        <v>237</v>
      </c>
      <c r="C22" s="197"/>
      <c r="D22" s="75" t="s">
        <v>242</v>
      </c>
      <c r="E22" s="42">
        <f>E23</f>
        <v>0</v>
      </c>
      <c r="F22" s="42">
        <f t="shared" ref="F22" si="7">F23</f>
        <v>0</v>
      </c>
      <c r="G22" s="42">
        <f>G23</f>
        <v>0</v>
      </c>
      <c r="H22" s="43" t="e">
        <f t="shared" si="2"/>
        <v>#DIV/0!</v>
      </c>
      <c r="I22" s="93"/>
    </row>
    <row r="23" spans="2:11" ht="15.75" customHeight="1" x14ac:dyDescent="0.2">
      <c r="B23" s="189" t="s">
        <v>238</v>
      </c>
      <c r="C23" s="190"/>
      <c r="D23" s="73" t="s">
        <v>248</v>
      </c>
      <c r="E23" s="71">
        <v>0</v>
      </c>
      <c r="F23" s="71">
        <v>0</v>
      </c>
      <c r="G23" s="71">
        <f>G128</f>
        <v>0</v>
      </c>
      <c r="H23" s="43" t="e">
        <f t="shared" si="2"/>
        <v>#DIV/0!</v>
      </c>
      <c r="I23" s="93"/>
    </row>
    <row r="24" spans="2:11" ht="15.75" customHeight="1" x14ac:dyDescent="0.2">
      <c r="B24" s="187" t="s">
        <v>239</v>
      </c>
      <c r="C24" s="188"/>
      <c r="D24" s="74" t="s">
        <v>243</v>
      </c>
      <c r="E24" s="42">
        <f>+E25</f>
        <v>0</v>
      </c>
      <c r="F24" s="42">
        <f t="shared" ref="F24:G24" si="8">F25</f>
        <v>0</v>
      </c>
      <c r="G24" s="42">
        <f t="shared" si="8"/>
        <v>0</v>
      </c>
      <c r="H24" s="43" t="e">
        <f t="shared" si="2"/>
        <v>#DIV/0!</v>
      </c>
      <c r="I24" s="93"/>
    </row>
    <row r="25" spans="2:11" ht="15.75" customHeight="1" x14ac:dyDescent="0.2">
      <c r="B25" s="189" t="s">
        <v>240</v>
      </c>
      <c r="C25" s="190"/>
      <c r="D25" s="77" t="s">
        <v>243</v>
      </c>
      <c r="E25" s="71">
        <v>0</v>
      </c>
      <c r="F25" s="71">
        <v>0</v>
      </c>
      <c r="G25" s="71">
        <v>0</v>
      </c>
      <c r="H25" s="72" t="e">
        <f t="shared" si="2"/>
        <v>#DIV/0!</v>
      </c>
      <c r="I25" s="93"/>
    </row>
    <row r="26" spans="2:11" ht="15.75" customHeight="1" x14ac:dyDescent="0.25">
      <c r="B26" s="167" t="s">
        <v>244</v>
      </c>
      <c r="C26" s="191"/>
      <c r="D26" s="192"/>
      <c r="E26" s="79">
        <f>+E27</f>
        <v>800000</v>
      </c>
      <c r="F26" s="79">
        <f>F27</f>
        <v>800000</v>
      </c>
      <c r="G26" s="79">
        <f>G27</f>
        <v>352967.11</v>
      </c>
      <c r="H26" s="43">
        <f t="shared" si="2"/>
        <v>44.120888749999999</v>
      </c>
      <c r="I26" s="93"/>
    </row>
    <row r="27" spans="2:11" ht="14.25" customHeight="1" x14ac:dyDescent="0.2">
      <c r="B27" s="167" t="s">
        <v>99</v>
      </c>
      <c r="C27" s="193"/>
      <c r="D27" s="194"/>
      <c r="E27" s="42">
        <f>E28+E61</f>
        <v>800000</v>
      </c>
      <c r="F27" s="42">
        <f>F28+F61</f>
        <v>800000</v>
      </c>
      <c r="G27" s="42">
        <f>G28+G61</f>
        <v>352967.11</v>
      </c>
      <c r="H27" s="43">
        <f t="shared" si="2"/>
        <v>44.120888749999999</v>
      </c>
      <c r="I27" s="93"/>
    </row>
    <row r="28" spans="2:11" ht="15.75" customHeight="1" x14ac:dyDescent="0.2">
      <c r="B28" s="170" t="s">
        <v>312</v>
      </c>
      <c r="C28" s="195"/>
      <c r="D28" s="172"/>
      <c r="E28" s="80">
        <f>+E29</f>
        <v>781500</v>
      </c>
      <c r="F28" s="80">
        <f>+F29</f>
        <v>781500</v>
      </c>
      <c r="G28" s="80">
        <f>+G29</f>
        <v>343717.11</v>
      </c>
      <c r="H28" s="81">
        <f t="shared" si="2"/>
        <v>43.981715930902112</v>
      </c>
      <c r="J28" s="93"/>
      <c r="K28" s="93"/>
    </row>
    <row r="29" spans="2:11" ht="15.75" customHeight="1" x14ac:dyDescent="0.2">
      <c r="B29" s="167" t="s">
        <v>100</v>
      </c>
      <c r="C29" s="175"/>
      <c r="D29" s="169"/>
      <c r="E29" s="42">
        <f>+E30</f>
        <v>781500</v>
      </c>
      <c r="F29" s="42">
        <f>+F30</f>
        <v>781500</v>
      </c>
      <c r="G29" s="42">
        <f t="shared" ref="G29" si="9">+G30</f>
        <v>343717.11</v>
      </c>
      <c r="H29" s="43">
        <f t="shared" si="2"/>
        <v>43.981715930902112</v>
      </c>
    </row>
    <row r="30" spans="2:11" ht="15.75" customHeight="1" x14ac:dyDescent="0.2">
      <c r="B30" s="167" t="s">
        <v>101</v>
      </c>
      <c r="C30" s="175"/>
      <c r="D30" s="169"/>
      <c r="E30" s="42">
        <f>E31+E35+E57+E59</f>
        <v>781500</v>
      </c>
      <c r="F30" s="42">
        <f t="shared" ref="F30:G30" si="10">F31+F35+F57+F59</f>
        <v>781500</v>
      </c>
      <c r="G30" s="42">
        <f t="shared" si="10"/>
        <v>343717.11</v>
      </c>
      <c r="H30" s="43">
        <f t="shared" si="2"/>
        <v>43.981715930902112</v>
      </c>
      <c r="I30" s="93"/>
    </row>
    <row r="31" spans="2:11" ht="15.75" customHeight="1" x14ac:dyDescent="0.2">
      <c r="B31" s="167" t="s">
        <v>102</v>
      </c>
      <c r="C31" s="175"/>
      <c r="D31" s="169"/>
      <c r="E31" s="42">
        <f>E32+E33+E34</f>
        <v>556000</v>
      </c>
      <c r="F31" s="42">
        <f t="shared" ref="F31:G31" si="11">F32+F33+F34</f>
        <v>556000</v>
      </c>
      <c r="G31" s="42">
        <f t="shared" si="11"/>
        <v>233597.98</v>
      </c>
      <c r="H31" s="43">
        <f t="shared" si="2"/>
        <v>42.01402517985612</v>
      </c>
      <c r="I31" s="93"/>
      <c r="J31" s="93"/>
    </row>
    <row r="32" spans="2:11" ht="15.75" customHeight="1" x14ac:dyDescent="0.2">
      <c r="B32" s="162" t="s">
        <v>103</v>
      </c>
      <c r="C32" s="173"/>
      <c r="D32" s="174"/>
      <c r="E32" s="71">
        <v>469000</v>
      </c>
      <c r="F32" s="71">
        <f>+E32</f>
        <v>469000</v>
      </c>
      <c r="G32" s="71">
        <f>229944.8-39384.17</f>
        <v>190560.63</v>
      </c>
      <c r="H32" s="72">
        <f t="shared" si="2"/>
        <v>40.631264392324098</v>
      </c>
      <c r="I32" s="93"/>
    </row>
    <row r="33" spans="2:10" ht="15.75" customHeight="1" x14ac:dyDescent="0.2">
      <c r="B33" s="162" t="s">
        <v>104</v>
      </c>
      <c r="C33" s="173"/>
      <c r="D33" s="174"/>
      <c r="E33" s="71">
        <v>15000</v>
      </c>
      <c r="F33" s="71">
        <f>+E33</f>
        <v>15000</v>
      </c>
      <c r="G33" s="71">
        <v>6703.6</v>
      </c>
      <c r="H33" s="72">
        <f t="shared" si="2"/>
        <v>44.690666666666665</v>
      </c>
      <c r="I33" s="93"/>
    </row>
    <row r="34" spans="2:10" ht="15.75" customHeight="1" x14ac:dyDescent="0.2">
      <c r="B34" s="162" t="s">
        <v>105</v>
      </c>
      <c r="C34" s="173"/>
      <c r="D34" s="174"/>
      <c r="E34" s="71">
        <v>72000</v>
      </c>
      <c r="F34" s="71">
        <f>+E34</f>
        <v>72000</v>
      </c>
      <c r="G34" s="71">
        <f>42832.12-6498.37</f>
        <v>36333.75</v>
      </c>
      <c r="H34" s="72">
        <f t="shared" si="2"/>
        <v>50.463541666666664</v>
      </c>
      <c r="I34" s="93"/>
    </row>
    <row r="35" spans="2:10" ht="15.75" customHeight="1" x14ac:dyDescent="0.2">
      <c r="B35" s="167" t="s">
        <v>106</v>
      </c>
      <c r="C35" s="168"/>
      <c r="D35" s="169"/>
      <c r="E35" s="42">
        <f>E36+E37+E38+E39+E40+E41+E42+E43+E44+E45+E46+E47+E48+E49+E50+E51+E52+E53+E54+E55+E56</f>
        <v>206000</v>
      </c>
      <c r="F35" s="42">
        <f>F36+F37+F38+F39+F40+F41+F42+F43+F44+F45+F46+F47+F48+F49+F50+F51+F52+F53+F54+F55+F56</f>
        <v>206000</v>
      </c>
      <c r="G35" s="42">
        <f t="shared" ref="G35" si="12">G36+G37+G38+G39+G40+G41+G42+G43+G44+G45+G46+G47+G48+G49+G50+G51+G52+G53+G54+G55+G56</f>
        <v>100369.13</v>
      </c>
      <c r="H35" s="43">
        <f t="shared" si="2"/>
        <v>48.722878640776699</v>
      </c>
      <c r="I35" s="93"/>
      <c r="J35" s="93"/>
    </row>
    <row r="36" spans="2:10" ht="15.75" customHeight="1" x14ac:dyDescent="0.2">
      <c r="B36" s="162" t="s">
        <v>107</v>
      </c>
      <c r="C36" s="163"/>
      <c r="D36" s="164"/>
      <c r="E36" s="71">
        <v>3000</v>
      </c>
      <c r="F36" s="71">
        <f>+E36</f>
        <v>3000</v>
      </c>
      <c r="G36" s="71">
        <v>1500</v>
      </c>
      <c r="H36" s="72">
        <f t="shared" si="2"/>
        <v>50</v>
      </c>
      <c r="I36" s="93"/>
    </row>
    <row r="37" spans="2:10" ht="15.75" customHeight="1" x14ac:dyDescent="0.2">
      <c r="B37" s="162" t="s">
        <v>108</v>
      </c>
      <c r="C37" s="163"/>
      <c r="D37" s="164"/>
      <c r="E37" s="71">
        <v>22000</v>
      </c>
      <c r="F37" s="71">
        <f t="shared" ref="F37:F48" si="13">+E37</f>
        <v>22000</v>
      </c>
      <c r="G37" s="71">
        <f>9697.62-1328.49</f>
        <v>8369.130000000001</v>
      </c>
      <c r="H37" s="72">
        <f t="shared" si="2"/>
        <v>38.041500000000006</v>
      </c>
      <c r="I37" s="93"/>
    </row>
    <row r="38" spans="2:10" ht="15.75" customHeight="1" x14ac:dyDescent="0.2">
      <c r="B38" s="162" t="s">
        <v>109</v>
      </c>
      <c r="C38" s="163"/>
      <c r="D38" s="164"/>
      <c r="E38" s="71">
        <v>1500</v>
      </c>
      <c r="F38" s="71">
        <f t="shared" si="13"/>
        <v>1500</v>
      </c>
      <c r="G38" s="71">
        <v>750</v>
      </c>
      <c r="H38" s="72">
        <f t="shared" si="2"/>
        <v>50</v>
      </c>
      <c r="I38" s="93"/>
    </row>
    <row r="39" spans="2:10" ht="15.75" customHeight="1" x14ac:dyDescent="0.2">
      <c r="B39" s="162" t="s">
        <v>110</v>
      </c>
      <c r="C39" s="163"/>
      <c r="D39" s="164"/>
      <c r="E39" s="71">
        <v>4300</v>
      </c>
      <c r="F39" s="71">
        <f t="shared" si="13"/>
        <v>4300</v>
      </c>
      <c r="G39" s="71">
        <v>2150</v>
      </c>
      <c r="H39" s="72">
        <f t="shared" si="2"/>
        <v>50</v>
      </c>
      <c r="I39" s="93"/>
    </row>
    <row r="40" spans="2:10" ht="15.75" customHeight="1" x14ac:dyDescent="0.2">
      <c r="B40" s="162" t="s">
        <v>111</v>
      </c>
      <c r="C40" s="163"/>
      <c r="D40" s="164"/>
      <c r="E40" s="71">
        <v>30000</v>
      </c>
      <c r="F40" s="71">
        <f t="shared" si="13"/>
        <v>30000</v>
      </c>
      <c r="G40" s="71">
        <v>15000</v>
      </c>
      <c r="H40" s="72">
        <f t="shared" si="2"/>
        <v>50</v>
      </c>
      <c r="I40" s="93"/>
    </row>
    <row r="41" spans="2:10" ht="15.75" customHeight="1" x14ac:dyDescent="0.2">
      <c r="B41" s="162" t="s">
        <v>112</v>
      </c>
      <c r="C41" s="163"/>
      <c r="D41" s="164"/>
      <c r="E41" s="71">
        <v>5000</v>
      </c>
      <c r="F41" s="71">
        <f t="shared" si="13"/>
        <v>5000</v>
      </c>
      <c r="G41" s="71">
        <v>2500</v>
      </c>
      <c r="H41" s="72">
        <f t="shared" si="2"/>
        <v>50</v>
      </c>
      <c r="I41" s="93"/>
    </row>
    <row r="42" spans="2:10" ht="15.75" customHeight="1" x14ac:dyDescent="0.2">
      <c r="B42" s="162" t="s">
        <v>113</v>
      </c>
      <c r="C42" s="163"/>
      <c r="D42" s="164"/>
      <c r="E42" s="71">
        <v>5000</v>
      </c>
      <c r="F42" s="71">
        <f t="shared" si="13"/>
        <v>5000</v>
      </c>
      <c r="G42" s="71">
        <v>2500</v>
      </c>
      <c r="H42" s="72">
        <f t="shared" si="2"/>
        <v>50</v>
      </c>
      <c r="I42" s="93"/>
    </row>
    <row r="43" spans="2:10" ht="15.75" customHeight="1" x14ac:dyDescent="0.2">
      <c r="B43" s="162" t="s">
        <v>114</v>
      </c>
      <c r="C43" s="163"/>
      <c r="D43" s="164"/>
      <c r="E43" s="71">
        <v>3000</v>
      </c>
      <c r="F43" s="71">
        <f t="shared" si="13"/>
        <v>3000</v>
      </c>
      <c r="G43" s="71">
        <v>1500</v>
      </c>
      <c r="H43" s="72">
        <f t="shared" si="2"/>
        <v>50</v>
      </c>
      <c r="I43" s="93"/>
    </row>
    <row r="44" spans="2:10" ht="15.75" customHeight="1" x14ac:dyDescent="0.2">
      <c r="B44" s="162" t="s">
        <v>115</v>
      </c>
      <c r="C44" s="163"/>
      <c r="D44" s="164"/>
      <c r="E44" s="71">
        <v>7000</v>
      </c>
      <c r="F44" s="71">
        <f t="shared" si="13"/>
        <v>7000</v>
      </c>
      <c r="G44" s="71">
        <v>3500</v>
      </c>
      <c r="H44" s="72">
        <f t="shared" si="2"/>
        <v>50</v>
      </c>
      <c r="I44" s="93"/>
    </row>
    <row r="45" spans="2:10" ht="15.75" customHeight="1" x14ac:dyDescent="0.2">
      <c r="B45" s="162" t="s">
        <v>116</v>
      </c>
      <c r="C45" s="163"/>
      <c r="D45" s="164"/>
      <c r="E45" s="71">
        <v>65000</v>
      </c>
      <c r="F45" s="71">
        <f t="shared" si="13"/>
        <v>65000</v>
      </c>
      <c r="G45" s="71">
        <v>32500</v>
      </c>
      <c r="H45" s="72">
        <f t="shared" si="2"/>
        <v>50</v>
      </c>
      <c r="I45" s="93"/>
    </row>
    <row r="46" spans="2:10" ht="15.75" customHeight="1" x14ac:dyDescent="0.2">
      <c r="B46" s="162" t="s">
        <v>117</v>
      </c>
      <c r="C46" s="163"/>
      <c r="D46" s="164"/>
      <c r="E46" s="71">
        <v>5000</v>
      </c>
      <c r="F46" s="71">
        <f t="shared" si="13"/>
        <v>5000</v>
      </c>
      <c r="G46" s="71">
        <v>2500</v>
      </c>
      <c r="H46" s="72">
        <f t="shared" si="2"/>
        <v>50</v>
      </c>
      <c r="I46" s="93"/>
    </row>
    <row r="47" spans="2:10" ht="15.75" customHeight="1" x14ac:dyDescent="0.2">
      <c r="B47" s="162" t="s">
        <v>118</v>
      </c>
      <c r="C47" s="163"/>
      <c r="D47" s="164"/>
      <c r="E47" s="71">
        <v>4000</v>
      </c>
      <c r="F47" s="71">
        <f t="shared" si="13"/>
        <v>4000</v>
      </c>
      <c r="G47" s="71">
        <v>2000</v>
      </c>
      <c r="H47" s="72">
        <f t="shared" si="2"/>
        <v>50</v>
      </c>
      <c r="I47" s="93"/>
    </row>
    <row r="48" spans="2:10" ht="15.75" customHeight="1" x14ac:dyDescent="0.2">
      <c r="B48" s="162" t="s">
        <v>119</v>
      </c>
      <c r="C48" s="163"/>
      <c r="D48" s="164"/>
      <c r="E48" s="71">
        <v>8200</v>
      </c>
      <c r="F48" s="71">
        <f t="shared" si="13"/>
        <v>8200</v>
      </c>
      <c r="G48" s="71">
        <v>4100</v>
      </c>
      <c r="H48" s="72">
        <f t="shared" si="2"/>
        <v>50</v>
      </c>
      <c r="I48" s="93"/>
    </row>
    <row r="49" spans="2:9" ht="15.75" customHeight="1" x14ac:dyDescent="0.2">
      <c r="B49" s="162" t="s">
        <v>120</v>
      </c>
      <c r="C49" s="163"/>
      <c r="D49" s="164"/>
      <c r="E49" s="71">
        <v>2500</v>
      </c>
      <c r="F49" s="71">
        <f>+E49</f>
        <v>2500</v>
      </c>
      <c r="G49" s="71">
        <v>1250</v>
      </c>
      <c r="H49" s="72">
        <f t="shared" si="2"/>
        <v>50</v>
      </c>
      <c r="I49" s="93"/>
    </row>
    <row r="50" spans="2:9" ht="15.75" customHeight="1" x14ac:dyDescent="0.2">
      <c r="B50" s="162" t="s">
        <v>121</v>
      </c>
      <c r="C50" s="163"/>
      <c r="D50" s="164"/>
      <c r="E50" s="71">
        <v>1800</v>
      </c>
      <c r="F50" s="71">
        <f t="shared" ref="F50:F56" si="14">+E50</f>
        <v>1800</v>
      </c>
      <c r="G50" s="71">
        <v>900</v>
      </c>
      <c r="H50" s="72">
        <f t="shared" si="2"/>
        <v>50</v>
      </c>
      <c r="I50" s="93"/>
    </row>
    <row r="51" spans="2:9" ht="15.75" customHeight="1" x14ac:dyDescent="0.2">
      <c r="B51" s="162" t="s">
        <v>122</v>
      </c>
      <c r="C51" s="163"/>
      <c r="D51" s="164"/>
      <c r="E51" s="71">
        <v>10000</v>
      </c>
      <c r="F51" s="71">
        <f t="shared" si="14"/>
        <v>10000</v>
      </c>
      <c r="G51" s="71">
        <v>5000</v>
      </c>
      <c r="H51" s="72">
        <f t="shared" si="2"/>
        <v>50</v>
      </c>
      <c r="I51" s="93"/>
    </row>
    <row r="52" spans="2:9" ht="15.75" customHeight="1" x14ac:dyDescent="0.2">
      <c r="B52" s="162" t="s">
        <v>123</v>
      </c>
      <c r="C52" s="163"/>
      <c r="D52" s="164"/>
      <c r="E52" s="71">
        <v>12000</v>
      </c>
      <c r="F52" s="71">
        <f t="shared" si="14"/>
        <v>12000</v>
      </c>
      <c r="G52" s="71">
        <v>6000</v>
      </c>
      <c r="H52" s="72">
        <f t="shared" si="2"/>
        <v>50</v>
      </c>
      <c r="I52" s="93"/>
    </row>
    <row r="53" spans="2:9" ht="15" customHeight="1" x14ac:dyDescent="0.2">
      <c r="B53" s="162" t="s">
        <v>124</v>
      </c>
      <c r="C53" s="163"/>
      <c r="D53" s="164"/>
      <c r="E53" s="71">
        <v>9000</v>
      </c>
      <c r="F53" s="71">
        <f t="shared" si="14"/>
        <v>9000</v>
      </c>
      <c r="G53" s="71">
        <v>4500</v>
      </c>
      <c r="H53" s="72">
        <f t="shared" si="2"/>
        <v>50</v>
      </c>
      <c r="I53" s="93"/>
    </row>
    <row r="54" spans="2:9" ht="15.75" customHeight="1" x14ac:dyDescent="0.2">
      <c r="B54" s="162" t="s">
        <v>125</v>
      </c>
      <c r="C54" s="163"/>
      <c r="D54" s="164"/>
      <c r="E54" s="71">
        <v>6000</v>
      </c>
      <c r="F54" s="71">
        <f t="shared" si="14"/>
        <v>6000</v>
      </c>
      <c r="G54" s="71">
        <v>3000</v>
      </c>
      <c r="H54" s="72">
        <f t="shared" si="2"/>
        <v>50</v>
      </c>
      <c r="I54" s="93"/>
    </row>
    <row r="55" spans="2:9" ht="15.75" customHeight="1" x14ac:dyDescent="0.2">
      <c r="B55" s="162" t="s">
        <v>126</v>
      </c>
      <c r="C55" s="163"/>
      <c r="D55" s="164"/>
      <c r="E55" s="71">
        <v>700</v>
      </c>
      <c r="F55" s="71">
        <f t="shared" si="14"/>
        <v>700</v>
      </c>
      <c r="G55" s="71">
        <v>350</v>
      </c>
      <c r="H55" s="72">
        <f t="shared" si="2"/>
        <v>50</v>
      </c>
      <c r="I55" s="93"/>
    </row>
    <row r="56" spans="2:9" ht="15.75" customHeight="1" x14ac:dyDescent="0.2">
      <c r="B56" s="162" t="s">
        <v>137</v>
      </c>
      <c r="C56" s="163"/>
      <c r="D56" s="164"/>
      <c r="E56" s="71">
        <v>1000</v>
      </c>
      <c r="F56" s="71">
        <f t="shared" si="14"/>
        <v>1000</v>
      </c>
      <c r="G56" s="71">
        <v>500</v>
      </c>
      <c r="H56" s="72">
        <f t="shared" si="2"/>
        <v>50</v>
      </c>
      <c r="I56" s="93"/>
    </row>
    <row r="57" spans="2:9" ht="15.75" customHeight="1" x14ac:dyDescent="0.2">
      <c r="B57" s="167" t="s">
        <v>127</v>
      </c>
      <c r="C57" s="168"/>
      <c r="D57" s="169"/>
      <c r="E57" s="42">
        <f>+E58</f>
        <v>3000</v>
      </c>
      <c r="F57" s="42">
        <f t="shared" ref="F57:G57" si="15">+F58</f>
        <v>3000</v>
      </c>
      <c r="G57" s="42">
        <f t="shared" si="15"/>
        <v>1500</v>
      </c>
      <c r="H57" s="43">
        <f t="shared" si="2"/>
        <v>50</v>
      </c>
      <c r="I57" s="93"/>
    </row>
    <row r="58" spans="2:9" ht="15.75" customHeight="1" x14ac:dyDescent="0.2">
      <c r="B58" s="162" t="s">
        <v>128</v>
      </c>
      <c r="C58" s="163"/>
      <c r="D58" s="164"/>
      <c r="E58" s="71">
        <v>3000</v>
      </c>
      <c r="F58" s="71">
        <f>+E58</f>
        <v>3000</v>
      </c>
      <c r="G58" s="71">
        <v>1500</v>
      </c>
      <c r="H58" s="72">
        <f t="shared" si="2"/>
        <v>50</v>
      </c>
      <c r="I58" s="93"/>
    </row>
    <row r="59" spans="2:9" ht="15.75" customHeight="1" x14ac:dyDescent="0.2">
      <c r="B59" s="167" t="s">
        <v>132</v>
      </c>
      <c r="C59" s="168"/>
      <c r="D59" s="169"/>
      <c r="E59" s="71">
        <f>+E60</f>
        <v>16500</v>
      </c>
      <c r="F59" s="71">
        <f t="shared" ref="F59:G59" si="16">+F60</f>
        <v>16500</v>
      </c>
      <c r="G59" s="71">
        <f t="shared" si="16"/>
        <v>8250</v>
      </c>
      <c r="H59" s="72">
        <f t="shared" si="2"/>
        <v>50</v>
      </c>
      <c r="I59" s="93"/>
    </row>
    <row r="60" spans="2:9" ht="15.75" customHeight="1" x14ac:dyDescent="0.2">
      <c r="B60" s="162" t="s">
        <v>133</v>
      </c>
      <c r="C60" s="163"/>
      <c r="D60" s="164"/>
      <c r="E60" s="71">
        <v>16500</v>
      </c>
      <c r="F60" s="71">
        <f>+E60</f>
        <v>16500</v>
      </c>
      <c r="G60" s="71">
        <v>8250</v>
      </c>
      <c r="H60" s="72">
        <f t="shared" si="2"/>
        <v>50</v>
      </c>
      <c r="I60" s="93"/>
    </row>
    <row r="61" spans="2:9" ht="15.75" customHeight="1" x14ac:dyDescent="0.2">
      <c r="B61" s="170" t="s">
        <v>313</v>
      </c>
      <c r="C61" s="171"/>
      <c r="D61" s="172"/>
      <c r="E61" s="80">
        <f>+E62</f>
        <v>18500</v>
      </c>
      <c r="F61" s="80">
        <f t="shared" ref="F61:F63" si="17">+F62</f>
        <v>18500</v>
      </c>
      <c r="G61" s="80">
        <f>+G62</f>
        <v>9250</v>
      </c>
      <c r="H61" s="81">
        <f t="shared" si="2"/>
        <v>50</v>
      </c>
      <c r="I61" s="93"/>
    </row>
    <row r="62" spans="2:9" ht="15.75" customHeight="1" x14ac:dyDescent="0.2">
      <c r="B62" s="167" t="s">
        <v>100</v>
      </c>
      <c r="C62" s="168"/>
      <c r="D62" s="169"/>
      <c r="E62" s="42">
        <f>+E63</f>
        <v>18500</v>
      </c>
      <c r="F62" s="42">
        <f t="shared" si="17"/>
        <v>18500</v>
      </c>
      <c r="G62" s="42">
        <f>+G63</f>
        <v>9250</v>
      </c>
      <c r="H62" s="43">
        <f t="shared" si="2"/>
        <v>50</v>
      </c>
      <c r="I62" s="93"/>
    </row>
    <row r="63" spans="2:9" ht="15.75" customHeight="1" x14ac:dyDescent="0.2">
      <c r="B63" s="167" t="s">
        <v>101</v>
      </c>
      <c r="C63" s="168"/>
      <c r="D63" s="169"/>
      <c r="E63" s="42">
        <f>+E64</f>
        <v>18500</v>
      </c>
      <c r="F63" s="42">
        <f t="shared" si="17"/>
        <v>18500</v>
      </c>
      <c r="G63" s="42">
        <f>+G64</f>
        <v>9250</v>
      </c>
      <c r="H63" s="43">
        <f t="shared" si="2"/>
        <v>50</v>
      </c>
      <c r="I63" s="93"/>
    </row>
    <row r="64" spans="2:9" ht="15.75" customHeight="1" x14ac:dyDescent="0.2">
      <c r="B64" s="167" t="s">
        <v>106</v>
      </c>
      <c r="C64" s="168"/>
      <c r="D64" s="169"/>
      <c r="E64" s="42">
        <f>+E65</f>
        <v>18500</v>
      </c>
      <c r="F64" s="42">
        <f>+F65</f>
        <v>18500</v>
      </c>
      <c r="G64" s="42">
        <f>+G65</f>
        <v>9250</v>
      </c>
      <c r="H64" s="43">
        <f t="shared" si="2"/>
        <v>50</v>
      </c>
      <c r="I64" s="93"/>
    </row>
    <row r="65" spans="2:10" ht="15.75" customHeight="1" x14ac:dyDescent="0.2">
      <c r="B65" s="162" t="s">
        <v>121</v>
      </c>
      <c r="C65" s="163"/>
      <c r="D65" s="164"/>
      <c r="E65" s="71">
        <v>18500</v>
      </c>
      <c r="F65" s="71">
        <f>+E65</f>
        <v>18500</v>
      </c>
      <c r="G65" s="71">
        <v>9250</v>
      </c>
      <c r="H65" s="72">
        <f t="shared" si="2"/>
        <v>50</v>
      </c>
      <c r="I65" s="93"/>
    </row>
    <row r="66" spans="2:10" ht="27.75" customHeight="1" x14ac:dyDescent="0.2">
      <c r="B66" s="170" t="s">
        <v>129</v>
      </c>
      <c r="C66" s="171"/>
      <c r="D66" s="172"/>
      <c r="E66" s="80">
        <f>+E67+E85+E90+E128</f>
        <v>4125212</v>
      </c>
      <c r="F66" s="80">
        <f>+F67+F85+F90+F128</f>
        <v>4125212</v>
      </c>
      <c r="G66" s="80">
        <f>+G67+G85+G90+G128</f>
        <v>64463.010000000009</v>
      </c>
      <c r="H66" s="80" t="e">
        <f>+H67+H85+H90+H128</f>
        <v>#DIV/0!</v>
      </c>
      <c r="I66" s="93"/>
      <c r="J66" s="93"/>
    </row>
    <row r="67" spans="2:10" ht="15.75" customHeight="1" x14ac:dyDescent="0.2">
      <c r="B67" s="167" t="s">
        <v>130</v>
      </c>
      <c r="C67" s="168"/>
      <c r="D67" s="169"/>
      <c r="E67" s="42">
        <f>+E68</f>
        <v>30000</v>
      </c>
      <c r="F67" s="42">
        <f t="shared" ref="F67:H67" si="18">+F68</f>
        <v>30000</v>
      </c>
      <c r="G67" s="42">
        <f>+G68</f>
        <v>0</v>
      </c>
      <c r="H67" s="42">
        <f t="shared" si="18"/>
        <v>0</v>
      </c>
      <c r="I67" s="93"/>
    </row>
    <row r="68" spans="2:10" ht="15.75" customHeight="1" x14ac:dyDescent="0.2">
      <c r="B68" s="167" t="s">
        <v>131</v>
      </c>
      <c r="C68" s="168"/>
      <c r="D68" s="169"/>
      <c r="E68" s="42">
        <f>E69+E73</f>
        <v>30000</v>
      </c>
      <c r="F68" s="42">
        <f>F69+F73</f>
        <v>30000</v>
      </c>
      <c r="G68" s="42">
        <f>G69+G73</f>
        <v>0</v>
      </c>
      <c r="H68" s="43">
        <f t="shared" si="2"/>
        <v>0</v>
      </c>
      <c r="I68" s="93"/>
    </row>
    <row r="69" spans="2:10" ht="15.75" customHeight="1" x14ac:dyDescent="0.2">
      <c r="B69" s="167" t="s">
        <v>102</v>
      </c>
      <c r="C69" s="168"/>
      <c r="D69" s="169"/>
      <c r="E69" s="42">
        <f>E70+E71+E72</f>
        <v>29000</v>
      </c>
      <c r="F69" s="42">
        <f t="shared" ref="F69" si="19">F70+F71+F72</f>
        <v>29000</v>
      </c>
      <c r="G69" s="42">
        <f>G70+G71+G72</f>
        <v>0</v>
      </c>
      <c r="H69" s="43">
        <f t="shared" si="2"/>
        <v>0</v>
      </c>
      <c r="I69" s="93"/>
    </row>
    <row r="70" spans="2:10" ht="15.75" customHeight="1" x14ac:dyDescent="0.2">
      <c r="B70" s="162" t="s">
        <v>103</v>
      </c>
      <c r="C70" s="163"/>
      <c r="D70" s="164"/>
      <c r="E70" s="71">
        <v>24000</v>
      </c>
      <c r="F70" s="71">
        <f>+E70</f>
        <v>24000</v>
      </c>
      <c r="G70" s="71">
        <v>0</v>
      </c>
      <c r="H70" s="72">
        <f t="shared" si="2"/>
        <v>0</v>
      </c>
      <c r="I70" s="93"/>
    </row>
    <row r="71" spans="2:10" ht="15.75" customHeight="1" x14ac:dyDescent="0.2">
      <c r="B71" s="162" t="s">
        <v>104</v>
      </c>
      <c r="C71" s="163"/>
      <c r="D71" s="164"/>
      <c r="E71" s="71">
        <v>1000</v>
      </c>
      <c r="F71" s="71">
        <f>+E71</f>
        <v>1000</v>
      </c>
      <c r="G71" s="71">
        <v>0</v>
      </c>
      <c r="H71" s="72">
        <f t="shared" si="2"/>
        <v>0</v>
      </c>
      <c r="I71" s="93"/>
    </row>
    <row r="72" spans="2:10" ht="15.75" customHeight="1" x14ac:dyDescent="0.2">
      <c r="B72" s="162" t="s">
        <v>105</v>
      </c>
      <c r="C72" s="163"/>
      <c r="D72" s="164"/>
      <c r="E72" s="71">
        <v>4000</v>
      </c>
      <c r="F72" s="71">
        <f>+E72</f>
        <v>4000</v>
      </c>
      <c r="G72" s="71">
        <v>0</v>
      </c>
      <c r="H72" s="72">
        <f t="shared" si="2"/>
        <v>0</v>
      </c>
      <c r="I72" s="93"/>
    </row>
    <row r="73" spans="2:10" ht="15.75" customHeight="1" x14ac:dyDescent="0.2">
      <c r="B73" s="167" t="s">
        <v>106</v>
      </c>
      <c r="C73" s="193"/>
      <c r="D73" s="194"/>
      <c r="E73" s="42">
        <f>E74+E75+E76+E77+E78+E79+E82+E83+E81</f>
        <v>1000</v>
      </c>
      <c r="F73" s="42">
        <f>F74+F75+F76+F77+F78+F79+F82+F83+F81</f>
        <v>1000</v>
      </c>
      <c r="G73" s="42">
        <f>G74+G75+G76+G77+G78+G79+G82+G83+G81</f>
        <v>0</v>
      </c>
      <c r="H73" s="43">
        <f t="shared" si="2"/>
        <v>0</v>
      </c>
      <c r="I73" s="93"/>
    </row>
    <row r="74" spans="2:10" ht="15.75" customHeight="1" x14ac:dyDescent="0.2">
      <c r="B74" s="162" t="s">
        <v>110</v>
      </c>
      <c r="C74" s="165"/>
      <c r="D74" s="166"/>
      <c r="E74" s="71">
        <v>0</v>
      </c>
      <c r="F74" s="71">
        <f>+E74</f>
        <v>0</v>
      </c>
      <c r="G74" s="71">
        <v>0</v>
      </c>
      <c r="H74" s="72" t="e">
        <f t="shared" si="2"/>
        <v>#DIV/0!</v>
      </c>
      <c r="I74" s="93"/>
    </row>
    <row r="75" spans="2:10" ht="15.75" customHeight="1" x14ac:dyDescent="0.2">
      <c r="B75" s="162" t="s">
        <v>111</v>
      </c>
      <c r="C75" s="165"/>
      <c r="D75" s="166"/>
      <c r="E75" s="71">
        <v>0</v>
      </c>
      <c r="F75" s="71">
        <v>0</v>
      </c>
      <c r="G75" s="71">
        <v>0</v>
      </c>
      <c r="H75" s="72" t="e">
        <f t="shared" si="2"/>
        <v>#DIV/0!</v>
      </c>
      <c r="I75" s="93"/>
    </row>
    <row r="76" spans="2:10" ht="15.75" customHeight="1" x14ac:dyDescent="0.2">
      <c r="B76" s="162" t="s">
        <v>113</v>
      </c>
      <c r="C76" s="165"/>
      <c r="D76" s="166"/>
      <c r="E76" s="71">
        <v>0</v>
      </c>
      <c r="F76" s="71">
        <v>0</v>
      </c>
      <c r="G76" s="71">
        <v>0</v>
      </c>
      <c r="H76" s="72" t="e">
        <f t="shared" si="2"/>
        <v>#DIV/0!</v>
      </c>
      <c r="I76" s="93"/>
    </row>
    <row r="77" spans="2:10" ht="15.75" customHeight="1" x14ac:dyDescent="0.2">
      <c r="B77" s="162" t="s">
        <v>115</v>
      </c>
      <c r="C77" s="165"/>
      <c r="D77" s="166"/>
      <c r="E77" s="71">
        <v>0</v>
      </c>
      <c r="F77" s="71">
        <v>0</v>
      </c>
      <c r="G77" s="71">
        <v>0</v>
      </c>
      <c r="H77" s="72" t="e">
        <f t="shared" si="2"/>
        <v>#DIV/0!</v>
      </c>
      <c r="I77" s="93"/>
    </row>
    <row r="78" spans="2:10" ht="15.75" customHeight="1" x14ac:dyDescent="0.2">
      <c r="B78" s="162" t="s">
        <v>116</v>
      </c>
      <c r="C78" s="165"/>
      <c r="D78" s="166"/>
      <c r="E78" s="71">
        <v>0</v>
      </c>
      <c r="F78" s="71">
        <f>+E78</f>
        <v>0</v>
      </c>
      <c r="G78" s="71">
        <v>0</v>
      </c>
      <c r="H78" s="72" t="e">
        <f t="shared" si="2"/>
        <v>#DIV/0!</v>
      </c>
      <c r="I78" s="93"/>
    </row>
    <row r="79" spans="2:10" ht="15.75" customHeight="1" x14ac:dyDescent="0.2">
      <c r="B79" s="162" t="s">
        <v>117</v>
      </c>
      <c r="C79" s="165"/>
      <c r="D79" s="166"/>
      <c r="E79" s="71">
        <v>0</v>
      </c>
      <c r="F79" s="71">
        <v>0</v>
      </c>
      <c r="G79" s="71">
        <v>0</v>
      </c>
      <c r="H79" s="72" t="e">
        <f t="shared" ref="H79:H81" si="20">G79/F79*100</f>
        <v>#DIV/0!</v>
      </c>
      <c r="I79" s="93"/>
    </row>
    <row r="80" spans="2:10" ht="15.75" customHeight="1" x14ac:dyDescent="0.2">
      <c r="B80" s="162" t="s">
        <v>317</v>
      </c>
      <c r="C80" s="165"/>
      <c r="D80" s="166"/>
      <c r="E80" s="71">
        <v>0</v>
      </c>
      <c r="F80" s="71">
        <v>0</v>
      </c>
      <c r="G80" s="71">
        <v>0</v>
      </c>
      <c r="H80" s="72" t="e">
        <f t="shared" si="20"/>
        <v>#DIV/0!</v>
      </c>
      <c r="I80" s="93"/>
    </row>
    <row r="81" spans="2:10" ht="15.75" customHeight="1" x14ac:dyDescent="0.2">
      <c r="B81" s="162" t="s">
        <v>121</v>
      </c>
      <c r="C81" s="165"/>
      <c r="D81" s="166"/>
      <c r="E81" s="71">
        <v>0</v>
      </c>
      <c r="F81" s="71">
        <f>+E81</f>
        <v>0</v>
      </c>
      <c r="G81" s="71">
        <v>0</v>
      </c>
      <c r="H81" s="72" t="e">
        <f t="shared" si="20"/>
        <v>#DIV/0!</v>
      </c>
      <c r="I81" s="93"/>
    </row>
    <row r="82" spans="2:10" ht="15.75" customHeight="1" x14ac:dyDescent="0.2">
      <c r="B82" s="162" t="s">
        <v>136</v>
      </c>
      <c r="C82" s="165"/>
      <c r="D82" s="166"/>
      <c r="E82" s="71">
        <v>1000</v>
      </c>
      <c r="F82" s="71">
        <f>+E82</f>
        <v>1000</v>
      </c>
      <c r="G82" s="71">
        <v>0</v>
      </c>
      <c r="H82" s="72">
        <f t="shared" ref="H82:H131" si="21">G82/F82*100</f>
        <v>0</v>
      </c>
      <c r="I82" s="93"/>
    </row>
    <row r="83" spans="2:10" ht="15.75" customHeight="1" x14ac:dyDescent="0.2">
      <c r="B83" s="162" t="s">
        <v>137</v>
      </c>
      <c r="C83" s="165"/>
      <c r="D83" s="166"/>
      <c r="E83" s="71">
        <v>0</v>
      </c>
      <c r="F83" s="71">
        <f>+E83</f>
        <v>0</v>
      </c>
      <c r="G83" s="71">
        <v>0</v>
      </c>
      <c r="H83" s="72" t="e">
        <f t="shared" si="21"/>
        <v>#DIV/0!</v>
      </c>
      <c r="I83" s="93"/>
    </row>
    <row r="84" spans="2:10" ht="15.75" customHeight="1" x14ac:dyDescent="0.2">
      <c r="B84" s="167" t="s">
        <v>134</v>
      </c>
      <c r="C84" s="168"/>
      <c r="D84" s="169"/>
      <c r="E84" s="42">
        <f>+E85</f>
        <v>9210</v>
      </c>
      <c r="F84" s="42">
        <f t="shared" ref="F84:G85" si="22">+F85</f>
        <v>9210</v>
      </c>
      <c r="G84" s="42">
        <f t="shared" si="22"/>
        <v>7244.1600000000008</v>
      </c>
      <c r="H84" s="43">
        <f t="shared" si="21"/>
        <v>78.65537459283388</v>
      </c>
      <c r="I84" s="93"/>
    </row>
    <row r="85" spans="2:10" ht="15.75" customHeight="1" x14ac:dyDescent="0.2">
      <c r="B85" s="167" t="s">
        <v>135</v>
      </c>
      <c r="C85" s="168"/>
      <c r="D85" s="169"/>
      <c r="E85" s="42">
        <f>+E86</f>
        <v>9210</v>
      </c>
      <c r="F85" s="42">
        <f t="shared" si="22"/>
        <v>9210</v>
      </c>
      <c r="G85" s="42">
        <f t="shared" si="22"/>
        <v>7244.1600000000008</v>
      </c>
      <c r="H85" s="43">
        <f t="shared" si="21"/>
        <v>78.65537459283388</v>
      </c>
      <c r="I85" s="93"/>
    </row>
    <row r="86" spans="2:10" ht="15.75" customHeight="1" x14ac:dyDescent="0.2">
      <c r="B86" s="167" t="s">
        <v>106</v>
      </c>
      <c r="C86" s="168"/>
      <c r="D86" s="169"/>
      <c r="E86" s="42">
        <f>E87+E88+E89</f>
        <v>9210</v>
      </c>
      <c r="F86" s="42">
        <f t="shared" ref="F86:G86" si="23">F87+F88+F89</f>
        <v>9210</v>
      </c>
      <c r="G86" s="42">
        <f t="shared" si="23"/>
        <v>7244.1600000000008</v>
      </c>
      <c r="H86" s="43">
        <f t="shared" si="21"/>
        <v>78.65537459283388</v>
      </c>
      <c r="I86" s="93"/>
    </row>
    <row r="87" spans="2:10" ht="15.75" customHeight="1" x14ac:dyDescent="0.2">
      <c r="B87" s="162" t="s">
        <v>117</v>
      </c>
      <c r="C87" s="163"/>
      <c r="D87" s="164"/>
      <c r="E87" s="71">
        <v>5000</v>
      </c>
      <c r="F87" s="71">
        <f>+E87</f>
        <v>5000</v>
      </c>
      <c r="G87" s="71">
        <v>0</v>
      </c>
      <c r="H87" s="72">
        <f t="shared" si="21"/>
        <v>0</v>
      </c>
      <c r="I87" s="93"/>
    </row>
    <row r="88" spans="2:10" ht="15.75" customHeight="1" x14ac:dyDescent="0.2">
      <c r="B88" s="162" t="s">
        <v>119</v>
      </c>
      <c r="C88" s="163"/>
      <c r="D88" s="164"/>
      <c r="E88" s="71">
        <v>4060</v>
      </c>
      <c r="F88" s="71">
        <f>+E88</f>
        <v>4060</v>
      </c>
      <c r="G88" s="71">
        <v>7235.35</v>
      </c>
      <c r="H88" s="72">
        <f t="shared" si="21"/>
        <v>178.21059113300493</v>
      </c>
      <c r="I88" s="93"/>
    </row>
    <row r="89" spans="2:10" ht="15.75" customHeight="1" x14ac:dyDescent="0.2">
      <c r="B89" s="108" t="s">
        <v>262</v>
      </c>
      <c r="C89" s="106"/>
      <c r="D89" s="107"/>
      <c r="E89" s="71">
        <v>150</v>
      </c>
      <c r="F89" s="71">
        <f>+E89</f>
        <v>150</v>
      </c>
      <c r="G89" s="71">
        <v>8.81</v>
      </c>
      <c r="H89" s="72">
        <f t="shared" si="21"/>
        <v>5.873333333333334</v>
      </c>
      <c r="I89" s="93"/>
    </row>
    <row r="90" spans="2:10" ht="15.75" customHeight="1" x14ac:dyDescent="0.2">
      <c r="B90" s="167" t="s">
        <v>138</v>
      </c>
      <c r="C90" s="168"/>
      <c r="D90" s="169"/>
      <c r="E90" s="42">
        <f>+E101+E91+E120+E99</f>
        <v>4086002</v>
      </c>
      <c r="F90" s="42">
        <f>+F101+F91+F120+F99</f>
        <v>4086002</v>
      </c>
      <c r="G90" s="42">
        <f>+G101+G91+G120+G99</f>
        <v>57218.850000000006</v>
      </c>
      <c r="H90" s="72">
        <f t="shared" si="21"/>
        <v>1.4003627506790257</v>
      </c>
      <c r="I90" s="93"/>
      <c r="J90" s="93"/>
    </row>
    <row r="91" spans="2:10" ht="15.75" customHeight="1" x14ac:dyDescent="0.2">
      <c r="B91" s="167" t="s">
        <v>297</v>
      </c>
      <c r="C91" s="168"/>
      <c r="D91" s="169"/>
      <c r="E91" s="42">
        <f>SUM(E92:E98)</f>
        <v>100000</v>
      </c>
      <c r="F91" s="42">
        <f t="shared" ref="F91:G91" si="24">SUM(F92:F98)</f>
        <v>100000</v>
      </c>
      <c r="G91" s="42">
        <f t="shared" si="24"/>
        <v>24802.940000000002</v>
      </c>
      <c r="H91" s="72">
        <f t="shared" si="21"/>
        <v>24.80294</v>
      </c>
      <c r="I91" s="93"/>
      <c r="J91" s="93"/>
    </row>
    <row r="92" spans="2:10" ht="15.75" customHeight="1" x14ac:dyDescent="0.2">
      <c r="B92" s="162" t="s">
        <v>110</v>
      </c>
      <c r="C92" s="165"/>
      <c r="D92" s="166"/>
      <c r="E92" s="71">
        <v>0</v>
      </c>
      <c r="F92" s="71">
        <v>0</v>
      </c>
      <c r="G92" s="71">
        <v>86.65</v>
      </c>
      <c r="H92" s="72" t="e">
        <f t="shared" si="21"/>
        <v>#DIV/0!</v>
      </c>
      <c r="I92" s="93"/>
      <c r="J92" s="93"/>
    </row>
    <row r="93" spans="2:10" ht="15.75" customHeight="1" x14ac:dyDescent="0.2">
      <c r="B93" s="162" t="s">
        <v>112</v>
      </c>
      <c r="C93" s="163"/>
      <c r="D93" s="164"/>
      <c r="E93" s="71">
        <v>0</v>
      </c>
      <c r="F93" s="71">
        <v>0</v>
      </c>
      <c r="G93" s="71">
        <v>447</v>
      </c>
      <c r="H93" s="72" t="e">
        <f t="shared" si="21"/>
        <v>#DIV/0!</v>
      </c>
      <c r="I93" s="93"/>
      <c r="J93" s="93"/>
    </row>
    <row r="94" spans="2:10" ht="15.75" customHeight="1" x14ac:dyDescent="0.2">
      <c r="B94" s="162" t="s">
        <v>113</v>
      </c>
      <c r="C94" s="165"/>
      <c r="D94" s="166"/>
      <c r="E94" s="71">
        <v>0</v>
      </c>
      <c r="F94" s="71">
        <v>0</v>
      </c>
      <c r="G94" s="71">
        <v>808.34</v>
      </c>
      <c r="H94" s="72" t="e">
        <f t="shared" si="21"/>
        <v>#DIV/0!</v>
      </c>
      <c r="I94" s="93"/>
      <c r="J94" s="93"/>
    </row>
    <row r="95" spans="2:10" ht="15.75" customHeight="1" x14ac:dyDescent="0.2">
      <c r="B95" s="162" t="s">
        <v>116</v>
      </c>
      <c r="C95" s="165"/>
      <c r="D95" s="166"/>
      <c r="E95" s="71">
        <v>0</v>
      </c>
      <c r="F95" s="71">
        <v>0</v>
      </c>
      <c r="G95" s="71">
        <v>457.5</v>
      </c>
      <c r="H95" s="72" t="e">
        <f t="shared" si="21"/>
        <v>#DIV/0!</v>
      </c>
      <c r="I95" s="93"/>
      <c r="J95" s="93"/>
    </row>
    <row r="96" spans="2:10" ht="15.75" customHeight="1" x14ac:dyDescent="0.2">
      <c r="B96" s="162" t="s">
        <v>118</v>
      </c>
      <c r="C96" s="163"/>
      <c r="D96" s="164"/>
      <c r="E96" s="71">
        <v>0</v>
      </c>
      <c r="F96" s="71">
        <v>0</v>
      </c>
      <c r="G96" s="71">
        <v>14849.34</v>
      </c>
      <c r="H96" s="72" t="e">
        <f t="shared" si="21"/>
        <v>#DIV/0!</v>
      </c>
      <c r="I96" s="93"/>
      <c r="J96" s="93"/>
    </row>
    <row r="97" spans="2:10" ht="15.75" customHeight="1" x14ac:dyDescent="0.2">
      <c r="B97" s="162" t="s">
        <v>121</v>
      </c>
      <c r="C97" s="163"/>
      <c r="D97" s="164"/>
      <c r="E97" s="71">
        <v>50000</v>
      </c>
      <c r="F97" s="71">
        <f>+E97</f>
        <v>50000</v>
      </c>
      <c r="G97" s="71">
        <v>8154.11</v>
      </c>
      <c r="H97" s="72">
        <f t="shared" si="21"/>
        <v>16.308219999999999</v>
      </c>
      <c r="I97" s="93"/>
      <c r="J97" s="93"/>
    </row>
    <row r="98" spans="2:10" ht="15.75" customHeight="1" x14ac:dyDescent="0.2">
      <c r="B98" s="162" t="s">
        <v>133</v>
      </c>
      <c r="C98" s="163"/>
      <c r="D98" s="164"/>
      <c r="E98" s="71">
        <v>50000</v>
      </c>
      <c r="F98" s="71">
        <f>+E98</f>
        <v>50000</v>
      </c>
      <c r="G98" s="71">
        <v>0</v>
      </c>
      <c r="H98" s="72">
        <f t="shared" si="21"/>
        <v>0</v>
      </c>
      <c r="I98" s="93"/>
      <c r="J98" s="93"/>
    </row>
    <row r="99" spans="2:10" ht="15.75" customHeight="1" x14ac:dyDescent="0.2">
      <c r="B99" s="167" t="s">
        <v>298</v>
      </c>
      <c r="C99" s="168"/>
      <c r="D99" s="169"/>
      <c r="E99" s="42">
        <f>+E100</f>
        <v>7548</v>
      </c>
      <c r="F99" s="42">
        <f>+F100</f>
        <v>7548</v>
      </c>
      <c r="G99" s="42">
        <f>+G100</f>
        <v>0</v>
      </c>
      <c r="H99" s="72">
        <f t="shared" si="21"/>
        <v>0</v>
      </c>
      <c r="I99" s="93"/>
      <c r="J99" s="93"/>
    </row>
    <row r="100" spans="2:10" ht="15.75" customHeight="1" x14ac:dyDescent="0.2">
      <c r="B100" s="162" t="s">
        <v>115</v>
      </c>
      <c r="C100" s="163"/>
      <c r="D100" s="164"/>
      <c r="E100" s="42">
        <v>7548</v>
      </c>
      <c r="F100" s="42">
        <f>+E100</f>
        <v>7548</v>
      </c>
      <c r="G100" s="42">
        <v>0</v>
      </c>
      <c r="H100" s="72">
        <f t="shared" si="21"/>
        <v>0</v>
      </c>
      <c r="I100" s="93"/>
      <c r="J100" s="93"/>
    </row>
    <row r="101" spans="2:10" ht="15.75" customHeight="1" x14ac:dyDescent="0.2">
      <c r="B101" s="167" t="s">
        <v>139</v>
      </c>
      <c r="C101" s="168"/>
      <c r="D101" s="169"/>
      <c r="E101" s="42">
        <f>E104+E117+E102</f>
        <v>420670</v>
      </c>
      <c r="F101" s="42">
        <f t="shared" ref="F101:G101" si="25">F104+F117+F102</f>
        <v>420670</v>
      </c>
      <c r="G101" s="42">
        <f t="shared" si="25"/>
        <v>32415.91</v>
      </c>
      <c r="H101" s="72">
        <f t="shared" si="21"/>
        <v>7.7057812537143127</v>
      </c>
      <c r="I101" s="93"/>
    </row>
    <row r="102" spans="2:10" ht="15.75" customHeight="1" x14ac:dyDescent="0.2">
      <c r="B102" s="167" t="s">
        <v>102</v>
      </c>
      <c r="C102" s="175"/>
      <c r="D102" s="169"/>
      <c r="E102" s="42">
        <f>+E103</f>
        <v>13002</v>
      </c>
      <c r="F102" s="42">
        <f t="shared" ref="F102:G102" si="26">+F103</f>
        <v>13002</v>
      </c>
      <c r="G102" s="42">
        <f t="shared" si="26"/>
        <v>10191.200000000001</v>
      </c>
      <c r="H102" s="72">
        <f t="shared" si="21"/>
        <v>78.38178741732041</v>
      </c>
      <c r="I102" s="93"/>
    </row>
    <row r="103" spans="2:10" ht="15.75" customHeight="1" x14ac:dyDescent="0.2">
      <c r="B103" s="162" t="s">
        <v>103</v>
      </c>
      <c r="C103" s="173"/>
      <c r="D103" s="174"/>
      <c r="E103" s="71">
        <v>13002</v>
      </c>
      <c r="F103" s="71">
        <f>+E103</f>
        <v>13002</v>
      </c>
      <c r="G103" s="71">
        <v>10191.200000000001</v>
      </c>
      <c r="H103" s="72">
        <f t="shared" si="21"/>
        <v>78.38178741732041</v>
      </c>
      <c r="I103" s="93"/>
    </row>
    <row r="104" spans="2:10" ht="15.75" customHeight="1" x14ac:dyDescent="0.2">
      <c r="B104" s="167" t="s">
        <v>106</v>
      </c>
      <c r="C104" s="168"/>
      <c r="D104" s="169"/>
      <c r="E104" s="42">
        <f>E106+E109+E110+E111+E112+E108+E113+E114+E107+E105+E115+E116</f>
        <v>225833</v>
      </c>
      <c r="F104" s="42">
        <f t="shared" ref="F104:G104" si="27">F106+F109+F110+F111+F112+F108+F113+F114+F107+F105+F115+F116</f>
        <v>225833</v>
      </c>
      <c r="G104" s="42">
        <f t="shared" si="27"/>
        <v>19927.329999999998</v>
      </c>
      <c r="H104" s="72">
        <f t="shared" si="21"/>
        <v>8.8239229873402021</v>
      </c>
      <c r="I104" s="93"/>
    </row>
    <row r="105" spans="2:10" ht="15.75" customHeight="1" x14ac:dyDescent="0.2">
      <c r="B105" s="162" t="s">
        <v>107</v>
      </c>
      <c r="C105" s="163"/>
      <c r="D105" s="164"/>
      <c r="E105" s="71">
        <v>0</v>
      </c>
      <c r="F105" s="71">
        <v>0</v>
      </c>
      <c r="G105" s="71">
        <v>0</v>
      </c>
      <c r="H105" s="72" t="e">
        <f t="shared" si="21"/>
        <v>#DIV/0!</v>
      </c>
      <c r="I105" s="93"/>
    </row>
    <row r="106" spans="2:10" ht="15.75" customHeight="1" x14ac:dyDescent="0.2">
      <c r="B106" s="162" t="s">
        <v>110</v>
      </c>
      <c r="C106" s="163"/>
      <c r="D106" s="164"/>
      <c r="E106" s="71">
        <v>0</v>
      </c>
      <c r="F106" s="71">
        <f t="shared" ref="F106:F116" si="28">+E106</f>
        <v>0</v>
      </c>
      <c r="G106" s="71">
        <v>0</v>
      </c>
      <c r="H106" s="72" t="e">
        <f t="shared" si="21"/>
        <v>#DIV/0!</v>
      </c>
      <c r="I106" s="93"/>
    </row>
    <row r="107" spans="2:10" ht="15.75" customHeight="1" x14ac:dyDescent="0.2">
      <c r="B107" s="162" t="s">
        <v>112</v>
      </c>
      <c r="C107" s="163"/>
      <c r="D107" s="164"/>
      <c r="E107" s="71">
        <v>0</v>
      </c>
      <c r="F107" s="71">
        <f t="shared" si="28"/>
        <v>0</v>
      </c>
      <c r="G107" s="71">
        <v>1700.28</v>
      </c>
      <c r="H107" s="72" t="e">
        <f t="shared" si="21"/>
        <v>#DIV/0!</v>
      </c>
      <c r="I107" s="93"/>
    </row>
    <row r="108" spans="2:10" ht="15.75" customHeight="1" x14ac:dyDescent="0.2">
      <c r="B108" s="162" t="s">
        <v>113</v>
      </c>
      <c r="C108" s="163"/>
      <c r="D108" s="164"/>
      <c r="E108" s="71">
        <v>0</v>
      </c>
      <c r="F108" s="71">
        <f t="shared" si="28"/>
        <v>0</v>
      </c>
      <c r="G108" s="71">
        <v>0</v>
      </c>
      <c r="H108" s="72" t="e">
        <f t="shared" si="21"/>
        <v>#DIV/0!</v>
      </c>
      <c r="I108" s="93"/>
    </row>
    <row r="109" spans="2:10" ht="15.75" customHeight="1" x14ac:dyDescent="0.2">
      <c r="B109" s="162" t="s">
        <v>116</v>
      </c>
      <c r="C109" s="163"/>
      <c r="D109" s="164"/>
      <c r="E109" s="71">
        <v>27887</v>
      </c>
      <c r="F109" s="71">
        <f t="shared" si="28"/>
        <v>27887</v>
      </c>
      <c r="G109" s="71">
        <v>0</v>
      </c>
      <c r="H109" s="72">
        <f t="shared" si="21"/>
        <v>0</v>
      </c>
      <c r="I109" s="93"/>
    </row>
    <row r="110" spans="2:10" ht="15.75" customHeight="1" x14ac:dyDescent="0.2">
      <c r="B110" s="162" t="s">
        <v>117</v>
      </c>
      <c r="C110" s="163"/>
      <c r="D110" s="164"/>
      <c r="E110" s="71">
        <v>0</v>
      </c>
      <c r="F110" s="71">
        <f t="shared" si="28"/>
        <v>0</v>
      </c>
      <c r="G110" s="71">
        <v>0</v>
      </c>
      <c r="H110" s="72" t="e">
        <f t="shared" si="21"/>
        <v>#DIV/0!</v>
      </c>
      <c r="I110" s="93"/>
    </row>
    <row r="111" spans="2:10" ht="15.75" customHeight="1" x14ac:dyDescent="0.2">
      <c r="B111" s="162" t="s">
        <v>118</v>
      </c>
      <c r="C111" s="163"/>
      <c r="D111" s="164"/>
      <c r="E111" s="71">
        <v>185946</v>
      </c>
      <c r="F111" s="71">
        <f t="shared" si="28"/>
        <v>185946</v>
      </c>
      <c r="G111" s="71">
        <v>14227.05</v>
      </c>
      <c r="H111" s="72">
        <f t="shared" si="21"/>
        <v>7.6511729211706623</v>
      </c>
      <c r="I111" s="93"/>
    </row>
    <row r="112" spans="2:10" ht="15.75" customHeight="1" x14ac:dyDescent="0.2">
      <c r="B112" s="162" t="s">
        <v>121</v>
      </c>
      <c r="C112" s="163"/>
      <c r="D112" s="164"/>
      <c r="E112" s="71">
        <v>12000</v>
      </c>
      <c r="F112" s="71">
        <f t="shared" si="28"/>
        <v>12000</v>
      </c>
      <c r="G112" s="71">
        <v>4000</v>
      </c>
      <c r="H112" s="72">
        <f t="shared" si="21"/>
        <v>33.333333333333329</v>
      </c>
      <c r="I112" s="93"/>
    </row>
    <row r="113" spans="2:10" ht="15.75" customHeight="1" x14ac:dyDescent="0.2">
      <c r="B113" s="162" t="s">
        <v>122</v>
      </c>
      <c r="C113" s="163"/>
      <c r="D113" s="164"/>
      <c r="E113" s="71">
        <v>0</v>
      </c>
      <c r="F113" s="71">
        <f t="shared" si="28"/>
        <v>0</v>
      </c>
      <c r="G113" s="71">
        <v>0</v>
      </c>
      <c r="H113" s="72" t="e">
        <f t="shared" si="21"/>
        <v>#DIV/0!</v>
      </c>
      <c r="I113" s="93"/>
    </row>
    <row r="114" spans="2:10" ht="15.75" customHeight="1" x14ac:dyDescent="0.2">
      <c r="B114" s="162" t="s">
        <v>123</v>
      </c>
      <c r="C114" s="163"/>
      <c r="D114" s="164"/>
      <c r="E114" s="71">
        <v>0</v>
      </c>
      <c r="F114" s="71">
        <f t="shared" si="28"/>
        <v>0</v>
      </c>
      <c r="G114" s="71">
        <v>0</v>
      </c>
      <c r="H114" s="72" t="e">
        <f>G114/F114*100</f>
        <v>#DIV/0!</v>
      </c>
      <c r="I114" s="93"/>
    </row>
    <row r="115" spans="2:10" ht="15.75" customHeight="1" x14ac:dyDescent="0.2">
      <c r="B115" s="162" t="s">
        <v>276</v>
      </c>
      <c r="C115" s="163"/>
      <c r="D115" s="164"/>
      <c r="E115" s="71">
        <v>0</v>
      </c>
      <c r="F115" s="71">
        <f t="shared" si="28"/>
        <v>0</v>
      </c>
      <c r="G115" s="71">
        <v>0</v>
      </c>
      <c r="H115" s="72" t="e">
        <f>G115/F115*100</f>
        <v>#DIV/0!</v>
      </c>
      <c r="I115" s="93"/>
      <c r="J115" s="93"/>
    </row>
    <row r="116" spans="2:10" ht="15.75" customHeight="1" x14ac:dyDescent="0.2">
      <c r="B116" s="162" t="s">
        <v>277</v>
      </c>
      <c r="C116" s="163"/>
      <c r="D116" s="164"/>
      <c r="E116" s="71">
        <v>0</v>
      </c>
      <c r="F116" s="71">
        <f t="shared" si="28"/>
        <v>0</v>
      </c>
      <c r="G116" s="71">
        <v>0</v>
      </c>
      <c r="H116" s="72" t="e">
        <f t="shared" si="21"/>
        <v>#DIV/0!</v>
      </c>
      <c r="I116" s="93"/>
    </row>
    <row r="117" spans="2:10" ht="15.75" customHeight="1" x14ac:dyDescent="0.2">
      <c r="B117" s="167" t="s">
        <v>132</v>
      </c>
      <c r="C117" s="168"/>
      <c r="D117" s="169"/>
      <c r="E117" s="42">
        <f>+E119+E118</f>
        <v>181835</v>
      </c>
      <c r="F117" s="42">
        <f t="shared" ref="F117" si="29">+F119+F118</f>
        <v>181835</v>
      </c>
      <c r="G117" s="42">
        <f>+G119+G118</f>
        <v>2297.38</v>
      </c>
      <c r="H117" s="43">
        <f t="shared" si="21"/>
        <v>1.2634421316028268</v>
      </c>
      <c r="I117" s="93"/>
    </row>
    <row r="118" spans="2:10" ht="15.75" customHeight="1" x14ac:dyDescent="0.2">
      <c r="B118" s="162" t="s">
        <v>133</v>
      </c>
      <c r="C118" s="163"/>
      <c r="D118" s="164"/>
      <c r="E118" s="71">
        <v>0</v>
      </c>
      <c r="F118" s="71">
        <v>0</v>
      </c>
      <c r="G118" s="71">
        <v>2297.38</v>
      </c>
      <c r="H118" s="43" t="e">
        <f t="shared" si="21"/>
        <v>#DIV/0!</v>
      </c>
      <c r="I118" s="93"/>
    </row>
    <row r="119" spans="2:10" ht="15.75" customHeight="1" x14ac:dyDescent="0.2">
      <c r="B119" s="162" t="s">
        <v>299</v>
      </c>
      <c r="C119" s="163"/>
      <c r="D119" s="164"/>
      <c r="E119" s="71">
        <v>181835</v>
      </c>
      <c r="F119" s="71">
        <f>+E119</f>
        <v>181835</v>
      </c>
      <c r="G119" s="71">
        <v>0</v>
      </c>
      <c r="H119" s="72">
        <f t="shared" si="21"/>
        <v>0</v>
      </c>
      <c r="I119" s="93"/>
    </row>
    <row r="120" spans="2:10" ht="15.75" customHeight="1" x14ac:dyDescent="0.2">
      <c r="B120" s="167" t="s">
        <v>300</v>
      </c>
      <c r="C120" s="168"/>
      <c r="D120" s="169"/>
      <c r="E120" s="42">
        <f>+E121</f>
        <v>3557784</v>
      </c>
      <c r="F120" s="42">
        <f t="shared" ref="F120:G120" si="30">+F121</f>
        <v>3557784</v>
      </c>
      <c r="G120" s="42">
        <f t="shared" si="30"/>
        <v>0</v>
      </c>
      <c r="H120" s="43">
        <f t="shared" si="21"/>
        <v>0</v>
      </c>
      <c r="I120" s="93"/>
    </row>
    <row r="121" spans="2:10" ht="15.75" customHeight="1" x14ac:dyDescent="0.2">
      <c r="B121" s="8" t="s">
        <v>292</v>
      </c>
      <c r="C121" s="106"/>
      <c r="D121" s="107"/>
      <c r="E121" s="42">
        <f>E122+E123+E124+E125+E126+E127</f>
        <v>3557784</v>
      </c>
      <c r="F121" s="42">
        <f t="shared" ref="F121:G121" si="31">F122+F123+F124+F125+F126+F127</f>
        <v>3557784</v>
      </c>
      <c r="G121" s="42">
        <f t="shared" si="31"/>
        <v>0</v>
      </c>
      <c r="H121" s="43">
        <f t="shared" si="21"/>
        <v>0</v>
      </c>
      <c r="I121" s="93"/>
    </row>
    <row r="122" spans="2:10" ht="15.75" customHeight="1" x14ac:dyDescent="0.2">
      <c r="B122" s="162" t="s">
        <v>117</v>
      </c>
      <c r="C122" s="163"/>
      <c r="D122" s="164"/>
      <c r="E122" s="71">
        <v>60000</v>
      </c>
      <c r="F122" s="71">
        <f>+E122</f>
        <v>60000</v>
      </c>
      <c r="G122" s="71">
        <v>0</v>
      </c>
      <c r="H122" s="72">
        <f t="shared" si="21"/>
        <v>0</v>
      </c>
      <c r="I122" s="93"/>
    </row>
    <row r="123" spans="2:10" ht="15.75" customHeight="1" x14ac:dyDescent="0.2">
      <c r="B123" s="162" t="s">
        <v>121</v>
      </c>
      <c r="C123" s="163"/>
      <c r="D123" s="164"/>
      <c r="E123" s="71">
        <v>12000</v>
      </c>
      <c r="F123" s="71">
        <f t="shared" ref="F123:F127" si="32">+E123</f>
        <v>12000</v>
      </c>
      <c r="G123" s="71">
        <v>0</v>
      </c>
      <c r="H123" s="72">
        <f t="shared" si="21"/>
        <v>0</v>
      </c>
      <c r="I123" s="93"/>
    </row>
    <row r="124" spans="2:10" ht="15.75" customHeight="1" x14ac:dyDescent="0.2">
      <c r="B124" s="64" t="s">
        <v>301</v>
      </c>
      <c r="C124" s="106"/>
      <c r="D124" s="107"/>
      <c r="E124" s="71">
        <v>2337784</v>
      </c>
      <c r="F124" s="71">
        <f t="shared" si="32"/>
        <v>2337784</v>
      </c>
      <c r="G124" s="71">
        <v>0</v>
      </c>
      <c r="H124" s="72">
        <f t="shared" si="21"/>
        <v>0</v>
      </c>
      <c r="I124" s="93"/>
    </row>
    <row r="125" spans="2:10" ht="15.75" customHeight="1" x14ac:dyDescent="0.2">
      <c r="B125" s="58" t="s">
        <v>302</v>
      </c>
      <c r="C125" s="106"/>
      <c r="D125" s="107"/>
      <c r="E125" s="71">
        <v>100000</v>
      </c>
      <c r="F125" s="71">
        <f t="shared" si="32"/>
        <v>100000</v>
      </c>
      <c r="G125" s="71">
        <v>0</v>
      </c>
      <c r="H125" s="72">
        <f t="shared" si="21"/>
        <v>0</v>
      </c>
      <c r="I125" s="93"/>
    </row>
    <row r="126" spans="2:10" ht="15.75" customHeight="1" x14ac:dyDescent="0.2">
      <c r="B126" s="58" t="s">
        <v>277</v>
      </c>
      <c r="C126" s="106"/>
      <c r="D126" s="107"/>
      <c r="E126" s="71">
        <v>800000</v>
      </c>
      <c r="F126" s="71">
        <f t="shared" si="32"/>
        <v>800000</v>
      </c>
      <c r="G126" s="71">
        <v>0</v>
      </c>
      <c r="H126" s="72">
        <f t="shared" si="21"/>
        <v>0</v>
      </c>
      <c r="I126" s="93"/>
    </row>
    <row r="127" spans="2:10" ht="15.75" customHeight="1" x14ac:dyDescent="0.2">
      <c r="B127" s="162" t="s">
        <v>133</v>
      </c>
      <c r="C127" s="163"/>
      <c r="D127" s="164"/>
      <c r="E127" s="71">
        <v>248000</v>
      </c>
      <c r="F127" s="71">
        <f t="shared" si="32"/>
        <v>248000</v>
      </c>
      <c r="G127" s="71">
        <v>0</v>
      </c>
      <c r="H127" s="72">
        <f t="shared" si="21"/>
        <v>0</v>
      </c>
      <c r="I127" s="93"/>
    </row>
    <row r="128" spans="2:10" x14ac:dyDescent="0.2">
      <c r="B128" s="167" t="s">
        <v>278</v>
      </c>
      <c r="C128" s="168"/>
      <c r="D128" s="169"/>
      <c r="E128" s="42">
        <f>+E129</f>
        <v>0</v>
      </c>
      <c r="F128" s="42">
        <f t="shared" ref="F128:G128" si="33">+F129</f>
        <v>0</v>
      </c>
      <c r="G128" s="42">
        <f t="shared" si="33"/>
        <v>0</v>
      </c>
      <c r="H128" s="72" t="e">
        <f t="shared" si="21"/>
        <v>#DIV/0!</v>
      </c>
    </row>
    <row r="129" spans="2:8" x14ac:dyDescent="0.2">
      <c r="B129" s="167" t="s">
        <v>279</v>
      </c>
      <c r="C129" s="168"/>
      <c r="D129" s="169"/>
      <c r="E129" s="42">
        <f>+E130+E131</f>
        <v>0</v>
      </c>
      <c r="F129" s="42">
        <f t="shared" ref="F129:G129" si="34">+F130+F131</f>
        <v>0</v>
      </c>
      <c r="G129" s="42">
        <f t="shared" si="34"/>
        <v>0</v>
      </c>
      <c r="H129" s="72" t="e">
        <f t="shared" si="21"/>
        <v>#DIV/0!</v>
      </c>
    </row>
    <row r="130" spans="2:8" x14ac:dyDescent="0.2">
      <c r="B130" s="162" t="s">
        <v>103</v>
      </c>
      <c r="C130" s="163"/>
      <c r="D130" s="164"/>
      <c r="E130" s="71">
        <v>0</v>
      </c>
      <c r="F130" s="71">
        <f t="shared" ref="F130" si="35">+E130</f>
        <v>0</v>
      </c>
      <c r="G130" s="71">
        <v>0</v>
      </c>
      <c r="H130" s="72" t="e">
        <f t="shared" si="21"/>
        <v>#DIV/0!</v>
      </c>
    </row>
    <row r="131" spans="2:8" ht="12.75" customHeight="1" x14ac:dyDescent="0.2">
      <c r="B131" s="162" t="s">
        <v>116</v>
      </c>
      <c r="C131" s="163"/>
      <c r="D131" s="164"/>
      <c r="E131" s="71">
        <v>0</v>
      </c>
      <c r="F131" s="71">
        <v>0</v>
      </c>
      <c r="G131" s="71">
        <v>0</v>
      </c>
      <c r="H131" s="72" t="e">
        <f t="shared" si="21"/>
        <v>#DIV/0!</v>
      </c>
    </row>
    <row r="132" spans="2:8" ht="34.5" customHeight="1" x14ac:dyDescent="0.2">
      <c r="B132" s="170" t="s">
        <v>303</v>
      </c>
      <c r="C132" s="171"/>
      <c r="D132" s="172"/>
      <c r="E132" s="80">
        <f>+E133</f>
        <v>30000</v>
      </c>
      <c r="F132" s="80">
        <f t="shared" ref="F132:H132" si="36">+F133</f>
        <v>30000</v>
      </c>
      <c r="G132" s="80">
        <f t="shared" si="36"/>
        <v>20912.96</v>
      </c>
      <c r="H132" s="80">
        <f t="shared" si="36"/>
        <v>69.70986666666667</v>
      </c>
    </row>
    <row r="133" spans="2:8" x14ac:dyDescent="0.2">
      <c r="B133" s="167" t="s">
        <v>138</v>
      </c>
      <c r="C133" s="168"/>
      <c r="D133" s="169"/>
      <c r="E133" s="42">
        <f>+E134</f>
        <v>30000</v>
      </c>
      <c r="F133" s="42">
        <f t="shared" ref="F133:G133" si="37">+F134</f>
        <v>30000</v>
      </c>
      <c r="G133" s="42">
        <f t="shared" si="37"/>
        <v>20912.96</v>
      </c>
      <c r="H133" s="72">
        <f t="shared" ref="H133:H139" si="38">G133/F133*100</f>
        <v>69.70986666666667</v>
      </c>
    </row>
    <row r="134" spans="2:8" x14ac:dyDescent="0.2">
      <c r="B134" s="167" t="s">
        <v>315</v>
      </c>
      <c r="C134" s="168"/>
      <c r="D134" s="169"/>
      <c r="E134" s="42">
        <f>+E135+E136+E137+E138+E139</f>
        <v>30000</v>
      </c>
      <c r="F134" s="42">
        <f t="shared" ref="F134" si="39">+F135+F136+F137+F138+F139</f>
        <v>30000</v>
      </c>
      <c r="G134" s="42">
        <f>+G135+G136+G137+G138+G139</f>
        <v>20912.96</v>
      </c>
      <c r="H134" s="72">
        <f t="shared" si="38"/>
        <v>69.70986666666667</v>
      </c>
    </row>
    <row r="135" spans="2:8" x14ac:dyDescent="0.2">
      <c r="B135" s="162" t="s">
        <v>103</v>
      </c>
      <c r="C135" s="173"/>
      <c r="D135" s="174"/>
      <c r="E135" s="71">
        <v>25000</v>
      </c>
      <c r="F135" s="71">
        <f>+E135</f>
        <v>25000</v>
      </c>
      <c r="G135" s="71">
        <v>14937.83</v>
      </c>
      <c r="H135" s="72">
        <f t="shared" si="38"/>
        <v>59.75132</v>
      </c>
    </row>
    <row r="136" spans="2:8" x14ac:dyDescent="0.2">
      <c r="B136" s="162" t="s">
        <v>110</v>
      </c>
      <c r="C136" s="163"/>
      <c r="D136" s="164"/>
      <c r="E136" s="71">
        <v>5000</v>
      </c>
      <c r="F136" s="71">
        <f>+E136</f>
        <v>5000</v>
      </c>
      <c r="G136" s="71">
        <v>841.23</v>
      </c>
      <c r="H136" s="72">
        <f t="shared" si="38"/>
        <v>16.8246</v>
      </c>
    </row>
    <row r="137" spans="2:8" x14ac:dyDescent="0.2">
      <c r="B137" s="162" t="s">
        <v>116</v>
      </c>
      <c r="C137" s="163"/>
      <c r="D137" s="164"/>
      <c r="E137" s="71">
        <v>0</v>
      </c>
      <c r="F137" s="71">
        <v>0</v>
      </c>
      <c r="G137" s="71">
        <v>3040</v>
      </c>
      <c r="H137" s="72" t="e">
        <f t="shared" si="38"/>
        <v>#DIV/0!</v>
      </c>
    </row>
    <row r="138" spans="2:8" x14ac:dyDescent="0.2">
      <c r="B138" s="162" t="s">
        <v>117</v>
      </c>
      <c r="C138" s="163"/>
      <c r="D138" s="164"/>
      <c r="E138" s="71">
        <v>0</v>
      </c>
      <c r="F138" s="71">
        <v>0</v>
      </c>
      <c r="G138" s="71">
        <v>2065</v>
      </c>
      <c r="H138" s="72" t="e">
        <f t="shared" si="38"/>
        <v>#DIV/0!</v>
      </c>
    </row>
    <row r="139" spans="2:8" x14ac:dyDescent="0.2">
      <c r="B139" s="162" t="s">
        <v>123</v>
      </c>
      <c r="C139" s="163"/>
      <c r="D139" s="164"/>
      <c r="E139" s="71">
        <v>0</v>
      </c>
      <c r="F139" s="71">
        <v>0</v>
      </c>
      <c r="G139" s="71">
        <v>28.9</v>
      </c>
      <c r="H139" s="72" t="e">
        <f t="shared" si="38"/>
        <v>#DIV/0!</v>
      </c>
    </row>
    <row r="140" spans="2:8" x14ac:dyDescent="0.2">
      <c r="B140" s="170" t="s">
        <v>314</v>
      </c>
      <c r="C140" s="171"/>
      <c r="D140" s="172"/>
      <c r="E140" s="80">
        <f>+E141</f>
        <v>1262324</v>
      </c>
      <c r="F140" s="80">
        <f t="shared" ref="F140:G141" si="40">+F141</f>
        <v>1262324</v>
      </c>
      <c r="G140" s="80">
        <f t="shared" ref="G140" si="41">+G141</f>
        <v>8229.68</v>
      </c>
      <c r="H140" s="80">
        <f t="shared" ref="H140" si="42">+H141</f>
        <v>0.65194672683082955</v>
      </c>
    </row>
    <row r="141" spans="2:8" x14ac:dyDescent="0.2">
      <c r="B141" s="167" t="s">
        <v>138</v>
      </c>
      <c r="C141" s="168"/>
      <c r="D141" s="169"/>
      <c r="E141" s="42">
        <f>+E142</f>
        <v>1262324</v>
      </c>
      <c r="F141" s="42">
        <f t="shared" si="40"/>
        <v>1262324</v>
      </c>
      <c r="G141" s="42">
        <f t="shared" si="40"/>
        <v>8229.68</v>
      </c>
      <c r="H141" s="72">
        <f t="shared" ref="H141:H146" si="43">G141/F141*100</f>
        <v>0.65194672683082955</v>
      </c>
    </row>
    <row r="142" spans="2:8" x14ac:dyDescent="0.2">
      <c r="B142" s="167" t="s">
        <v>316</v>
      </c>
      <c r="C142" s="168"/>
      <c r="D142" s="169"/>
      <c r="E142" s="42">
        <f>+E143+E145+E146+E144</f>
        <v>1262324</v>
      </c>
      <c r="F142" s="42">
        <f t="shared" ref="F142" si="44">+F143+F145+F146+F144</f>
        <v>1262324</v>
      </c>
      <c r="G142" s="42">
        <f>+G143+G145+G146+G144</f>
        <v>8229.68</v>
      </c>
      <c r="H142" s="72">
        <f t="shared" si="43"/>
        <v>0.65194672683082955</v>
      </c>
    </row>
    <row r="143" spans="2:8" x14ac:dyDescent="0.2">
      <c r="B143" s="162" t="s">
        <v>103</v>
      </c>
      <c r="C143" s="173"/>
      <c r="D143" s="174"/>
      <c r="E143" s="71">
        <v>73676</v>
      </c>
      <c r="F143" s="71">
        <f>+E143</f>
        <v>73676</v>
      </c>
      <c r="G143" s="71">
        <v>7064.1</v>
      </c>
      <c r="H143" s="72">
        <f t="shared" si="43"/>
        <v>9.5880612411097239</v>
      </c>
    </row>
    <row r="144" spans="2:8" x14ac:dyDescent="0.2">
      <c r="B144" s="162" t="s">
        <v>105</v>
      </c>
      <c r="C144" s="163"/>
      <c r="D144" s="164"/>
      <c r="E144" s="71">
        <v>0</v>
      </c>
      <c r="F144" s="71">
        <v>0</v>
      </c>
      <c r="G144" s="71">
        <v>1165.58</v>
      </c>
      <c r="H144" s="72"/>
    </row>
    <row r="145" spans="2:8" ht="12.75" customHeight="1" x14ac:dyDescent="0.2">
      <c r="B145" s="162" t="s">
        <v>116</v>
      </c>
      <c r="C145" s="163"/>
      <c r="D145" s="164"/>
      <c r="E145" s="71">
        <v>158023</v>
      </c>
      <c r="F145" s="71">
        <f>+E145</f>
        <v>158023</v>
      </c>
      <c r="G145" s="71">
        <v>0</v>
      </c>
      <c r="H145" s="72">
        <f t="shared" si="43"/>
        <v>0</v>
      </c>
    </row>
    <row r="146" spans="2:8" x14ac:dyDescent="0.2">
      <c r="B146" s="162" t="s">
        <v>299</v>
      </c>
      <c r="C146" s="163"/>
      <c r="D146" s="164"/>
      <c r="E146" s="71">
        <v>1030625</v>
      </c>
      <c r="F146" s="71">
        <f>+E146</f>
        <v>1030625</v>
      </c>
      <c r="G146" s="71">
        <v>0</v>
      </c>
      <c r="H146" s="72">
        <f t="shared" si="43"/>
        <v>0</v>
      </c>
    </row>
  </sheetData>
  <mergeCells count="138">
    <mergeCell ref="B111:D111"/>
    <mergeCell ref="B141:D141"/>
    <mergeCell ref="B142:D142"/>
    <mergeCell ref="B143:D143"/>
    <mergeCell ref="B145:D145"/>
    <mergeCell ref="B146:D146"/>
    <mergeCell ref="B133:D133"/>
    <mergeCell ref="B134:D134"/>
    <mergeCell ref="B135:D135"/>
    <mergeCell ref="B136:D136"/>
    <mergeCell ref="B140:D140"/>
    <mergeCell ref="B144:D144"/>
    <mergeCell ref="B62:D62"/>
    <mergeCell ref="B63:D63"/>
    <mergeCell ref="B64:D64"/>
    <mergeCell ref="B55:D55"/>
    <mergeCell ref="B56:D56"/>
    <mergeCell ref="B107:D107"/>
    <mergeCell ref="B113:D113"/>
    <mergeCell ref="B114:D114"/>
    <mergeCell ref="B115:D115"/>
    <mergeCell ref="B99:D99"/>
    <mergeCell ref="B100:D100"/>
    <mergeCell ref="B57:D57"/>
    <mergeCell ref="B58:D58"/>
    <mergeCell ref="B82:D82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47:D47"/>
    <mergeCell ref="B48:D48"/>
    <mergeCell ref="B49:D49"/>
    <mergeCell ref="B50:D50"/>
    <mergeCell ref="B51:D51"/>
    <mergeCell ref="B52:D52"/>
    <mergeCell ref="B53:D53"/>
    <mergeCell ref="B54:D54"/>
    <mergeCell ref="B61:D61"/>
    <mergeCell ref="B60:D60"/>
    <mergeCell ref="B59:D59"/>
    <mergeCell ref="B43:D43"/>
    <mergeCell ref="B44:D44"/>
    <mergeCell ref="B45:D45"/>
    <mergeCell ref="B46:D46"/>
    <mergeCell ref="B37:D37"/>
    <mergeCell ref="B38:D38"/>
    <mergeCell ref="B39:D39"/>
    <mergeCell ref="B40:D40"/>
    <mergeCell ref="B41:D41"/>
    <mergeCell ref="B42:D42"/>
    <mergeCell ref="B2:H2"/>
    <mergeCell ref="B32:D32"/>
    <mergeCell ref="B33:D33"/>
    <mergeCell ref="B34:D34"/>
    <mergeCell ref="B24:C24"/>
    <mergeCell ref="B25:C25"/>
    <mergeCell ref="B26:D26"/>
    <mergeCell ref="B27:D27"/>
    <mergeCell ref="B28:D28"/>
    <mergeCell ref="B29:D29"/>
    <mergeCell ref="B30:D30"/>
    <mergeCell ref="B31:D31"/>
    <mergeCell ref="B10:C10"/>
    <mergeCell ref="B11:C11"/>
    <mergeCell ref="B22:C22"/>
    <mergeCell ref="B23:C23"/>
    <mergeCell ref="B17:C17"/>
    <mergeCell ref="B18:C18"/>
    <mergeCell ref="B21:C21"/>
    <mergeCell ref="B20:C20"/>
    <mergeCell ref="B35:D35"/>
    <mergeCell ref="B8:C8"/>
    <mergeCell ref="B36:D36"/>
    <mergeCell ref="B9:C9"/>
    <mergeCell ref="B4:H4"/>
    <mergeCell ref="B6:D6"/>
    <mergeCell ref="B7:D7"/>
    <mergeCell ref="B12:C12"/>
    <mergeCell ref="B13:C13"/>
    <mergeCell ref="B14:C14"/>
    <mergeCell ref="B15:C15"/>
    <mergeCell ref="B16:C16"/>
    <mergeCell ref="B19:C19"/>
    <mergeCell ref="B65:D65"/>
    <mergeCell ref="B83:D83"/>
    <mergeCell ref="B81:D81"/>
    <mergeCell ref="B108:D108"/>
    <mergeCell ref="B112:D112"/>
    <mergeCell ref="B87:D87"/>
    <mergeCell ref="B88:D88"/>
    <mergeCell ref="B84:D84"/>
    <mergeCell ref="B85:D85"/>
    <mergeCell ref="B86:D86"/>
    <mergeCell ref="B105:D105"/>
    <mergeCell ref="B66:D66"/>
    <mergeCell ref="B77:D77"/>
    <mergeCell ref="B78:D78"/>
    <mergeCell ref="B79:D79"/>
    <mergeCell ref="B110:D110"/>
    <mergeCell ref="B80:D80"/>
    <mergeCell ref="B92:D92"/>
    <mergeCell ref="B103:D103"/>
    <mergeCell ref="B102:D102"/>
    <mergeCell ref="B91:D91"/>
    <mergeCell ref="B97:D97"/>
    <mergeCell ref="B98:D98"/>
    <mergeCell ref="B90:D90"/>
    <mergeCell ref="B93:D93"/>
    <mergeCell ref="B94:D94"/>
    <mergeCell ref="B95:D95"/>
    <mergeCell ref="B96:D96"/>
    <mergeCell ref="B118:D118"/>
    <mergeCell ref="B137:D137"/>
    <mergeCell ref="B138:D138"/>
    <mergeCell ref="B139:D139"/>
    <mergeCell ref="B128:D128"/>
    <mergeCell ref="B129:D129"/>
    <mergeCell ref="B130:D130"/>
    <mergeCell ref="B131:D131"/>
    <mergeCell ref="B117:D117"/>
    <mergeCell ref="B116:D116"/>
    <mergeCell ref="B127:D127"/>
    <mergeCell ref="B132:D132"/>
    <mergeCell ref="B120:D120"/>
    <mergeCell ref="B122:D122"/>
    <mergeCell ref="B123:D123"/>
    <mergeCell ref="B119:D119"/>
    <mergeCell ref="B101:D101"/>
    <mergeCell ref="B104:D104"/>
    <mergeCell ref="B109:D109"/>
    <mergeCell ref="B106:D106"/>
  </mergeCells>
  <phoneticPr fontId="22" type="noConversion"/>
  <pageMargins left="0.70866141732283472" right="0.70866141732283472" top="0.74803149606299213" bottom="0.74803149606299213" header="0.31496062992125984" footer="0.31496062992125984"/>
  <pageSetup paperSize="9" scale="45" orientation="landscape" r:id="rId1"/>
  <rowBreaks count="2" manualBreakCount="2">
    <brk id="60" max="7" man="1"/>
    <brk id="13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4</vt:i4>
      </vt:variant>
    </vt:vector>
  </HeadingPairs>
  <TitlesOfParts>
    <vt:vector size="11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'Rashodi prema izvorima finan'!Podrucje_ispisa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Korisnik</cp:lastModifiedBy>
  <cp:lastPrinted>2026-07-22T08:51:10Z</cp:lastPrinted>
  <dcterms:created xsi:type="dcterms:W3CDTF">2022-08-12T12:51:27Z</dcterms:created>
  <dcterms:modified xsi:type="dcterms:W3CDTF">2026-07-22T08:51:50Z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