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RACUNOVODSTVO\IZVJEŠTAJI\2024\IZVRŠENJE\1-12\"/>
    </mc:Choice>
  </mc:AlternateContent>
  <xr:revisionPtr revIDLastSave="0" documentId="13_ncr:1_{EF696280-8FE0-4F7A-A12F-7DAE493BDDA5}" xr6:coauthVersionLast="47" xr6:coauthVersionMax="47" xr10:uidLastSave="{00000000-0000-0000-0000-000000000000}"/>
  <bookViews>
    <workbookView xWindow="-120" yWindow="-120" windowWidth="20730" windowHeight="11160" tabRatio="786" activeTab="2" xr2:uid="{00000000-000D-0000-FFFF-FFFF00000000}"/>
  </bookViews>
  <sheets>
    <sheet name="SAŽETAK" sheetId="1" r:id="rId1"/>
    <sheet name=" Račun prihoda i rashoda" sheetId="3" r:id="rId2"/>
    <sheet name="Pi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rashoda'!$B$1:$L$111</definedName>
    <definedName name="_xlnm.Print_Area" localSheetId="2">'PiRashodi prema izvorima finan'!$A$1:$H$36</definedName>
    <definedName name="_xlnm.Print_Area" localSheetId="6">'POSEBNI DIO'!$A$1:$I$124</definedName>
    <definedName name="_xlnm.Print_Area" localSheetId="3">'Rashodi prema funkcijskoj k '!$A$1:$H$8</definedName>
    <definedName name="_xlnm.Print_Area" localSheetId="0">SAŽETAK!$B$1:$L$42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7" l="1"/>
  <c r="F63" i="7"/>
  <c r="G63" i="7"/>
  <c r="F62" i="7"/>
  <c r="F89" i="7"/>
  <c r="F90" i="7"/>
  <c r="F110" i="7"/>
  <c r="G62" i="7"/>
  <c r="J26" i="7" s="1"/>
  <c r="G117" i="7"/>
  <c r="G116" i="7"/>
  <c r="H118" i="7"/>
  <c r="F117" i="7"/>
  <c r="E117" i="7"/>
  <c r="E119" i="7"/>
  <c r="G110" i="7"/>
  <c r="G99" i="7"/>
  <c r="G91" i="7" s="1"/>
  <c r="G67" i="7"/>
  <c r="G37" i="7"/>
  <c r="G30" i="7"/>
  <c r="J6" i="5"/>
  <c r="K6" i="5"/>
  <c r="L6" i="5"/>
  <c r="M6" i="5"/>
  <c r="F15" i="5"/>
  <c r="E15" i="5"/>
  <c r="G11" i="7"/>
  <c r="F31" i="5"/>
  <c r="F29" i="5" s="1"/>
  <c r="F27" i="5"/>
  <c r="F25" i="5"/>
  <c r="F23" i="5"/>
  <c r="F24" i="5"/>
  <c r="D31" i="5"/>
  <c r="N10" i="3"/>
  <c r="O10" i="3"/>
  <c r="P10" i="3"/>
  <c r="Q10" i="3"/>
  <c r="I31" i="3"/>
  <c r="J31" i="3"/>
  <c r="J11" i="3" s="1"/>
  <c r="J10" i="3" s="1"/>
  <c r="J32" i="3"/>
  <c r="J35" i="3"/>
  <c r="J19" i="3"/>
  <c r="J16" i="3"/>
  <c r="J37" i="3"/>
  <c r="J40" i="3"/>
  <c r="J41" i="3"/>
  <c r="J43" i="3"/>
  <c r="I11" i="3"/>
  <c r="J13" i="3"/>
  <c r="J12" i="3"/>
  <c r="J38" i="3"/>
  <c r="J26" i="3"/>
  <c r="J25" i="3"/>
  <c r="J21" i="3"/>
  <c r="J29" i="3"/>
  <c r="J28" i="3"/>
  <c r="I28" i="3"/>
  <c r="H28" i="3"/>
  <c r="G28" i="3"/>
  <c r="M21" i="1"/>
  <c r="H46" i="7"/>
  <c r="H47" i="7"/>
  <c r="F116" i="7"/>
  <c r="H119" i="7"/>
  <c r="H105" i="7"/>
  <c r="H115" i="7"/>
  <c r="E115" i="7"/>
  <c r="F91" i="7"/>
  <c r="E105" i="7"/>
  <c r="E96" i="7"/>
  <c r="G84" i="7"/>
  <c r="F84" i="7"/>
  <c r="E86" i="7"/>
  <c r="F69" i="7"/>
  <c r="E79" i="7"/>
  <c r="G69" i="7"/>
  <c r="E77" i="7"/>
  <c r="H71" i="7"/>
  <c r="E71" i="7"/>
  <c r="G59" i="7"/>
  <c r="F59" i="7"/>
  <c r="E61" i="7"/>
  <c r="D34" i="5"/>
  <c r="E24" i="5"/>
  <c r="I104" i="3"/>
  <c r="I95" i="3"/>
  <c r="I78" i="3"/>
  <c r="I75" i="3"/>
  <c r="I74" i="3"/>
  <c r="I73" i="3"/>
  <c r="I69" i="3"/>
  <c r="I65" i="3"/>
  <c r="I76" i="3"/>
  <c r="I88" i="3"/>
  <c r="I58" i="3"/>
  <c r="I56" i="3"/>
  <c r="I54" i="3"/>
  <c r="E14" i="5"/>
  <c r="E12" i="5"/>
  <c r="E10" i="5"/>
  <c r="E8" i="5"/>
  <c r="H44" i="3"/>
  <c r="H42" i="3"/>
  <c r="H39" i="3"/>
  <c r="H36" i="3"/>
  <c r="H34" i="3"/>
  <c r="H33" i="3"/>
  <c r="H30" i="3"/>
  <c r="H27" i="3"/>
  <c r="H24" i="3"/>
  <c r="H23" i="3"/>
  <c r="H22" i="3"/>
  <c r="H20" i="3"/>
  <c r="H18" i="3"/>
  <c r="H17" i="3"/>
  <c r="H15" i="3"/>
  <c r="H14" i="3"/>
  <c r="H54" i="3"/>
  <c r="H56" i="3"/>
  <c r="H58" i="3"/>
  <c r="H61" i="3"/>
  <c r="I24" i="3"/>
  <c r="I44" i="3"/>
  <c r="I34" i="3"/>
  <c r="I39" i="3"/>
  <c r="I36" i="3"/>
  <c r="I32" i="3"/>
  <c r="G32" i="3"/>
  <c r="G31" i="3" s="1"/>
  <c r="I35" i="3"/>
  <c r="G35" i="3"/>
  <c r="H35" i="3"/>
  <c r="J33" i="1"/>
  <c r="G33" i="1"/>
  <c r="G34" i="1" s="1"/>
  <c r="L28" i="1"/>
  <c r="L29" i="1"/>
  <c r="L30" i="1"/>
  <c r="L32" i="1"/>
  <c r="L18" i="1"/>
  <c r="K29" i="1"/>
  <c r="K30" i="1"/>
  <c r="K31" i="1"/>
  <c r="L31" i="1" s="1"/>
  <c r="K32" i="1"/>
  <c r="K28" i="1"/>
  <c r="K18" i="1"/>
  <c r="K21" i="1"/>
  <c r="L21" i="1" s="1"/>
  <c r="K17" i="1"/>
  <c r="L17" i="1" s="1"/>
  <c r="G30" i="1"/>
  <c r="G19" i="1"/>
  <c r="E116" i="7" l="1"/>
  <c r="E22" i="7"/>
  <c r="E21" i="7" s="1"/>
  <c r="F22" i="7"/>
  <c r="H117" i="7"/>
  <c r="H116" i="7"/>
  <c r="H32" i="3"/>
  <c r="E124" i="7"/>
  <c r="E123" i="7" s="1"/>
  <c r="E122" i="7" s="1"/>
  <c r="E121" i="7" s="1"/>
  <c r="E120" i="7" s="1"/>
  <c r="E113" i="7"/>
  <c r="E114" i="7"/>
  <c r="E111" i="7"/>
  <c r="E107" i="7"/>
  <c r="E93" i="7"/>
  <c r="E94" i="7"/>
  <c r="E95" i="7"/>
  <c r="E97" i="7"/>
  <c r="E98" i="7"/>
  <c r="E99" i="7"/>
  <c r="E100" i="7"/>
  <c r="E101" i="7"/>
  <c r="E102" i="7"/>
  <c r="E103" i="7"/>
  <c r="E104" i="7"/>
  <c r="E92" i="7"/>
  <c r="E87" i="7"/>
  <c r="E88" i="7"/>
  <c r="E85" i="7"/>
  <c r="E81" i="7"/>
  <c r="E80" i="7" s="1"/>
  <c r="E72" i="7"/>
  <c r="E73" i="7"/>
  <c r="E74" i="7"/>
  <c r="E75" i="7"/>
  <c r="E76" i="7"/>
  <c r="E78" i="7"/>
  <c r="E70" i="7"/>
  <c r="E67" i="7"/>
  <c r="E68" i="7"/>
  <c r="E66" i="7"/>
  <c r="E60" i="7"/>
  <c r="E59" i="7" s="1"/>
  <c r="E55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33" i="7"/>
  <c r="E31" i="7"/>
  <c r="E30" i="7"/>
  <c r="E29" i="7"/>
  <c r="D36" i="5"/>
  <c r="D32" i="5"/>
  <c r="D30" i="5"/>
  <c r="D28" i="5"/>
  <c r="D26" i="5"/>
  <c r="D24" i="5"/>
  <c r="D20" i="5"/>
  <c r="D18" i="5"/>
  <c r="D16" i="5"/>
  <c r="D15" i="5"/>
  <c r="D14" i="5"/>
  <c r="D12" i="5"/>
  <c r="D10" i="5"/>
  <c r="D8" i="5"/>
  <c r="H41" i="3"/>
  <c r="I41" i="3"/>
  <c r="H111" i="3"/>
  <c r="H108" i="3"/>
  <c r="H106" i="3"/>
  <c r="H104" i="3"/>
  <c r="H103" i="3"/>
  <c r="H102" i="3"/>
  <c r="H100" i="3"/>
  <c r="H99" i="3"/>
  <c r="H95" i="3"/>
  <c r="H94" i="3" s="1"/>
  <c r="H93" i="3" s="1"/>
  <c r="H92" i="3"/>
  <c r="H91" i="3"/>
  <c r="H86" i="3"/>
  <c r="H87" i="3"/>
  <c r="H88" i="3"/>
  <c r="H84" i="3"/>
  <c r="H82" i="3"/>
  <c r="H75" i="3"/>
  <c r="H77" i="3"/>
  <c r="H79" i="3"/>
  <c r="H66" i="3"/>
  <c r="H63" i="3"/>
  <c r="H31" i="3"/>
  <c r="H29" i="3"/>
  <c r="H19" i="3"/>
  <c r="H13" i="3"/>
  <c r="H18" i="1"/>
  <c r="K74" i="3"/>
  <c r="K75" i="3"/>
  <c r="K77" i="3"/>
  <c r="K78" i="3"/>
  <c r="K79" i="3"/>
  <c r="K82" i="3"/>
  <c r="K84" i="3"/>
  <c r="K86" i="3"/>
  <c r="K87" i="3"/>
  <c r="K88" i="3"/>
  <c r="K91" i="3"/>
  <c r="K92" i="3"/>
  <c r="K99" i="3"/>
  <c r="K100" i="3"/>
  <c r="K102" i="3"/>
  <c r="K103" i="3"/>
  <c r="K108" i="3"/>
  <c r="K111" i="3"/>
  <c r="K63" i="3"/>
  <c r="K68" i="3"/>
  <c r="K42" i="3"/>
  <c r="K45" i="3"/>
  <c r="K22" i="3"/>
  <c r="K24" i="3"/>
  <c r="K27" i="3"/>
  <c r="K30" i="3"/>
  <c r="K33" i="3"/>
  <c r="K34" i="3"/>
  <c r="K14" i="3"/>
  <c r="K15" i="3"/>
  <c r="K17" i="3"/>
  <c r="K18" i="3"/>
  <c r="K20" i="3"/>
  <c r="L102" i="3"/>
  <c r="L103" i="3"/>
  <c r="L104" i="3"/>
  <c r="L106" i="3"/>
  <c r="L108" i="3"/>
  <c r="L111" i="3"/>
  <c r="L99" i="3"/>
  <c r="L100" i="3"/>
  <c r="L82" i="3"/>
  <c r="L84" i="3"/>
  <c r="L86" i="3"/>
  <c r="L87" i="3"/>
  <c r="L88" i="3"/>
  <c r="L91" i="3"/>
  <c r="L92" i="3"/>
  <c r="L75" i="3"/>
  <c r="L77" i="3"/>
  <c r="L79" i="3"/>
  <c r="L66" i="3"/>
  <c r="L63" i="3"/>
  <c r="L44" i="3"/>
  <c r="L45" i="3"/>
  <c r="L42" i="3"/>
  <c r="L33" i="3"/>
  <c r="L34" i="3"/>
  <c r="L30" i="3"/>
  <c r="L27" i="3"/>
  <c r="L20" i="3"/>
  <c r="L22" i="3"/>
  <c r="L23" i="3"/>
  <c r="L24" i="3"/>
  <c r="L14" i="3"/>
  <c r="L15" i="3"/>
  <c r="L17" i="3"/>
  <c r="L18" i="3"/>
  <c r="G19" i="7"/>
  <c r="G16" i="7"/>
  <c r="G65" i="7"/>
  <c r="H88" i="7"/>
  <c r="F65" i="7"/>
  <c r="F80" i="7"/>
  <c r="H111" i="7"/>
  <c r="H113" i="7"/>
  <c r="H114" i="7"/>
  <c r="F109" i="7"/>
  <c r="G109" i="7"/>
  <c r="G108" i="7" s="1"/>
  <c r="H124" i="7"/>
  <c r="G123" i="7"/>
  <c r="G122" i="7" s="1"/>
  <c r="G121" i="7" s="1"/>
  <c r="G120" i="7" s="1"/>
  <c r="F123" i="7"/>
  <c r="H104" i="7"/>
  <c r="H103" i="7"/>
  <c r="H102" i="7"/>
  <c r="H98" i="7"/>
  <c r="H97" i="7"/>
  <c r="H94" i="7"/>
  <c r="H95" i="7"/>
  <c r="H92" i="7"/>
  <c r="H93" i="7"/>
  <c r="H99" i="7"/>
  <c r="H100" i="7"/>
  <c r="H101" i="7"/>
  <c r="H107" i="7"/>
  <c r="G80" i="7"/>
  <c r="H81" i="7"/>
  <c r="C13" i="5"/>
  <c r="J94" i="3"/>
  <c r="J93" i="3" s="1"/>
  <c r="H78" i="3"/>
  <c r="K80" i="3"/>
  <c r="K65" i="3"/>
  <c r="H65" i="3"/>
  <c r="K85" i="3"/>
  <c r="H85" i="3"/>
  <c r="H80" i="3"/>
  <c r="H74" i="3"/>
  <c r="K73" i="3"/>
  <c r="H73" i="3"/>
  <c r="K72" i="3"/>
  <c r="H70" i="3"/>
  <c r="H68" i="3"/>
  <c r="H67" i="3"/>
  <c r="K61" i="3"/>
  <c r="K76" i="3"/>
  <c r="H76" i="3"/>
  <c r="H72" i="3"/>
  <c r="H69" i="3"/>
  <c r="K62" i="3"/>
  <c r="H62" i="3"/>
  <c r="K58" i="3"/>
  <c r="K54" i="3"/>
  <c r="I94" i="3"/>
  <c r="I93" i="3" s="1"/>
  <c r="G93" i="3"/>
  <c r="G90" i="3"/>
  <c r="G89" i="3" s="1"/>
  <c r="G94" i="3"/>
  <c r="K66" i="3"/>
  <c r="K104" i="3"/>
  <c r="K106" i="3"/>
  <c r="I90" i="3"/>
  <c r="J90" i="3"/>
  <c r="K69" i="3"/>
  <c r="K56" i="3"/>
  <c r="G38" i="3"/>
  <c r="G37" i="3" s="1"/>
  <c r="G41" i="3"/>
  <c r="H43" i="3"/>
  <c r="I43" i="3"/>
  <c r="I29" i="3"/>
  <c r="H26" i="3"/>
  <c r="H25" i="3" s="1"/>
  <c r="I26" i="3"/>
  <c r="I25" i="3" s="1"/>
  <c r="I21" i="3"/>
  <c r="I19" i="3"/>
  <c r="H16" i="3"/>
  <c r="I16" i="3"/>
  <c r="I13" i="3"/>
  <c r="G16" i="3"/>
  <c r="G19" i="3"/>
  <c r="G26" i="3"/>
  <c r="G25" i="3" s="1"/>
  <c r="G29" i="3"/>
  <c r="G43" i="3"/>
  <c r="G21" i="3"/>
  <c r="K36" i="3"/>
  <c r="I38" i="3"/>
  <c r="I37" i="3" s="1"/>
  <c r="E110" i="7" l="1"/>
  <c r="F108" i="7"/>
  <c r="F20" i="7"/>
  <c r="F19" i="7" s="1"/>
  <c r="L36" i="3"/>
  <c r="E109" i="7"/>
  <c r="E91" i="7"/>
  <c r="E84" i="7"/>
  <c r="E83" i="7" s="1"/>
  <c r="E15" i="7" s="1"/>
  <c r="E14" i="7" s="1"/>
  <c r="E69" i="7"/>
  <c r="G64" i="7"/>
  <c r="G12" i="7" s="1"/>
  <c r="F64" i="7"/>
  <c r="K25" i="3"/>
  <c r="L37" i="3"/>
  <c r="K37" i="3"/>
  <c r="L19" i="3"/>
  <c r="L65" i="3"/>
  <c r="L68" i="3"/>
  <c r="L70" i="3"/>
  <c r="L56" i="3"/>
  <c r="L74" i="3"/>
  <c r="L78" i="3"/>
  <c r="K29" i="3"/>
  <c r="H90" i="3"/>
  <c r="L25" i="3"/>
  <c r="L67" i="3"/>
  <c r="I40" i="3"/>
  <c r="L28" i="3"/>
  <c r="L21" i="3"/>
  <c r="L16" i="3"/>
  <c r="K16" i="3"/>
  <c r="K93" i="3"/>
  <c r="K43" i="3"/>
  <c r="K41" i="3"/>
  <c r="K19" i="3"/>
  <c r="K21" i="3"/>
  <c r="L39" i="3"/>
  <c r="L73" i="3"/>
  <c r="L85" i="3"/>
  <c r="K28" i="3"/>
  <c r="K67" i="3"/>
  <c r="K95" i="3"/>
  <c r="L13" i="3"/>
  <c r="L29" i="3"/>
  <c r="L38" i="3"/>
  <c r="L54" i="3"/>
  <c r="L62" i="3"/>
  <c r="L58" i="3"/>
  <c r="L80" i="3"/>
  <c r="L76" i="3"/>
  <c r="L72" i="3"/>
  <c r="K23" i="3"/>
  <c r="K70" i="3"/>
  <c r="K94" i="3"/>
  <c r="H21" i="3"/>
  <c r="H12" i="3" s="1"/>
  <c r="L69" i="3"/>
  <c r="L95" i="3"/>
  <c r="K38" i="3"/>
  <c r="H40" i="3"/>
  <c r="L41" i="3"/>
  <c r="L43" i="3"/>
  <c r="L94" i="3"/>
  <c r="K32" i="3"/>
  <c r="H38" i="3"/>
  <c r="H37" i="3" s="1"/>
  <c r="K90" i="3"/>
  <c r="L26" i="3"/>
  <c r="L32" i="3"/>
  <c r="L61" i="3"/>
  <c r="L93" i="3"/>
  <c r="K26" i="3"/>
  <c r="K39" i="3"/>
  <c r="G22" i="1"/>
  <c r="K20" i="1"/>
  <c r="L20" i="1" s="1"/>
  <c r="L90" i="3"/>
  <c r="H108" i="7"/>
  <c r="H110" i="7"/>
  <c r="H109" i="7"/>
  <c r="E18" i="7"/>
  <c r="H123" i="7"/>
  <c r="F122" i="7"/>
  <c r="H91" i="7"/>
  <c r="H80" i="7"/>
  <c r="G40" i="3"/>
  <c r="I12" i="3"/>
  <c r="I10" i="3" s="1"/>
  <c r="H33" i="1"/>
  <c r="L33" i="1" s="1"/>
  <c r="I33" i="1"/>
  <c r="H30" i="1"/>
  <c r="I30" i="1"/>
  <c r="J30" i="1"/>
  <c r="H78" i="7"/>
  <c r="F106" i="7"/>
  <c r="G106" i="7"/>
  <c r="F83" i="7"/>
  <c r="F82" i="7" s="1"/>
  <c r="G83" i="7"/>
  <c r="G82" i="7" s="1"/>
  <c r="E65" i="7"/>
  <c r="E106" i="7"/>
  <c r="H74" i="7"/>
  <c r="F58" i="7"/>
  <c r="G58" i="7"/>
  <c r="G57" i="7" s="1"/>
  <c r="G56" i="7" s="1"/>
  <c r="E58" i="7"/>
  <c r="F32" i="7"/>
  <c r="G32" i="7"/>
  <c r="F54" i="7"/>
  <c r="G54" i="7"/>
  <c r="E54" i="7"/>
  <c r="E32" i="7"/>
  <c r="F28" i="7"/>
  <c r="G28" i="7"/>
  <c r="E28" i="7"/>
  <c r="C29" i="5"/>
  <c r="J71" i="3"/>
  <c r="H110" i="3"/>
  <c r="H109" i="3" s="1"/>
  <c r="I110" i="3"/>
  <c r="J110" i="3"/>
  <c r="J109" i="3" s="1"/>
  <c r="G110" i="3"/>
  <c r="H107" i="3"/>
  <c r="I107" i="3"/>
  <c r="J107" i="3"/>
  <c r="G107" i="3"/>
  <c r="H105" i="3"/>
  <c r="I105" i="3"/>
  <c r="J105" i="3"/>
  <c r="G105" i="3"/>
  <c r="H101" i="3"/>
  <c r="I101" i="3"/>
  <c r="J101" i="3"/>
  <c r="G101" i="3"/>
  <c r="H98" i="3"/>
  <c r="I98" i="3"/>
  <c r="J98" i="3"/>
  <c r="G98" i="3"/>
  <c r="I81" i="3"/>
  <c r="H83" i="3"/>
  <c r="I83" i="3"/>
  <c r="J83" i="3"/>
  <c r="G83" i="3"/>
  <c r="J60" i="3"/>
  <c r="I60" i="3"/>
  <c r="H60" i="3"/>
  <c r="G60" i="3"/>
  <c r="G13" i="3"/>
  <c r="G12" i="3" s="1"/>
  <c r="H22" i="1"/>
  <c r="G81" i="3"/>
  <c r="G21" i="7"/>
  <c r="H29" i="7"/>
  <c r="H30" i="7"/>
  <c r="H31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8" i="7"/>
  <c r="H49" i="7"/>
  <c r="H50" i="7"/>
  <c r="H51" i="7"/>
  <c r="H52" i="7"/>
  <c r="H53" i="7"/>
  <c r="H55" i="7"/>
  <c r="H60" i="7"/>
  <c r="H66" i="7"/>
  <c r="H67" i="7"/>
  <c r="H68" i="7"/>
  <c r="H70" i="7"/>
  <c r="H72" i="7"/>
  <c r="H73" i="7"/>
  <c r="H75" i="7"/>
  <c r="H76" i="7"/>
  <c r="H85" i="7"/>
  <c r="H87" i="7"/>
  <c r="E108" i="7" l="1"/>
  <c r="E20" i="7"/>
  <c r="J97" i="3"/>
  <c r="K35" i="3"/>
  <c r="L35" i="3"/>
  <c r="E64" i="7"/>
  <c r="E13" i="7" s="1"/>
  <c r="E12" i="7" s="1"/>
  <c r="E19" i="7"/>
  <c r="G11" i="3"/>
  <c r="G10" i="3" s="1"/>
  <c r="H11" i="3"/>
  <c r="H10" i="3" s="1"/>
  <c r="K105" i="3"/>
  <c r="K83" i="3"/>
  <c r="L83" i="3"/>
  <c r="K60" i="3"/>
  <c r="L60" i="3"/>
  <c r="L107" i="3"/>
  <c r="L12" i="3"/>
  <c r="K12" i="3"/>
  <c r="K40" i="3"/>
  <c r="L40" i="3"/>
  <c r="K13" i="3"/>
  <c r="K33" i="1"/>
  <c r="G23" i="1"/>
  <c r="K110" i="3"/>
  <c r="K107" i="3"/>
  <c r="I109" i="3"/>
  <c r="L109" i="3" s="1"/>
  <c r="L110" i="3"/>
  <c r="L105" i="3"/>
  <c r="L101" i="3"/>
  <c r="K101" i="3"/>
  <c r="K98" i="3"/>
  <c r="I97" i="3"/>
  <c r="L97" i="3" s="1"/>
  <c r="L98" i="3"/>
  <c r="D8" i="8"/>
  <c r="H122" i="7"/>
  <c r="F18" i="7"/>
  <c r="H18" i="7" s="1"/>
  <c r="F121" i="7"/>
  <c r="H121" i="7" s="1"/>
  <c r="H106" i="7"/>
  <c r="H97" i="3"/>
  <c r="H96" i="3" s="1"/>
  <c r="G109" i="3"/>
  <c r="K109" i="3" s="1"/>
  <c r="G97" i="3"/>
  <c r="J96" i="3"/>
  <c r="G90" i="7"/>
  <c r="G89" i="7" s="1"/>
  <c r="F13" i="7"/>
  <c r="F12" i="7" s="1"/>
  <c r="H84" i="7"/>
  <c r="E90" i="7"/>
  <c r="E17" i="7" s="1"/>
  <c r="E16" i="7" s="1"/>
  <c r="E82" i="7"/>
  <c r="G14" i="7"/>
  <c r="H83" i="7"/>
  <c r="F15" i="7"/>
  <c r="F14" i="7" s="1"/>
  <c r="H69" i="7"/>
  <c r="H28" i="7"/>
  <c r="H65" i="7"/>
  <c r="H59" i="7"/>
  <c r="H54" i="7"/>
  <c r="G27" i="7"/>
  <c r="G26" i="7" s="1"/>
  <c r="G25" i="7" s="1"/>
  <c r="G24" i="7" s="1"/>
  <c r="G23" i="7" s="1"/>
  <c r="F27" i="7"/>
  <c r="F26" i="7" s="1"/>
  <c r="E27" i="7"/>
  <c r="E26" i="7" s="1"/>
  <c r="E25" i="7" s="1"/>
  <c r="H32" i="7"/>
  <c r="F57" i="7"/>
  <c r="F56" i="7" s="1"/>
  <c r="H56" i="7" s="1"/>
  <c r="H58" i="7"/>
  <c r="E57" i="7"/>
  <c r="E56" i="7" s="1"/>
  <c r="H22" i="7"/>
  <c r="F21" i="7"/>
  <c r="H19" i="7"/>
  <c r="H20" i="7"/>
  <c r="K31" i="3" l="1"/>
  <c r="L31" i="3"/>
  <c r="K97" i="3"/>
  <c r="I96" i="3"/>
  <c r="L96" i="3" s="1"/>
  <c r="F120" i="7"/>
  <c r="H120" i="7" s="1"/>
  <c r="G96" i="3"/>
  <c r="E89" i="7"/>
  <c r="E62" i="7" s="1"/>
  <c r="F17" i="7"/>
  <c r="F16" i="7" s="1"/>
  <c r="H89" i="7"/>
  <c r="H90" i="7"/>
  <c r="H14" i="7"/>
  <c r="H15" i="7"/>
  <c r="H82" i="7"/>
  <c r="E24" i="7"/>
  <c r="E23" i="7" s="1"/>
  <c r="H12" i="7"/>
  <c r="H64" i="7"/>
  <c r="E11" i="7"/>
  <c r="E10" i="7" s="1"/>
  <c r="E9" i="7" s="1"/>
  <c r="E8" i="7" s="1"/>
  <c r="H27" i="7"/>
  <c r="F11" i="7"/>
  <c r="F10" i="7" s="1"/>
  <c r="H26" i="7"/>
  <c r="F25" i="7"/>
  <c r="H57" i="7"/>
  <c r="G10" i="7"/>
  <c r="H21" i="7"/>
  <c r="D7" i="8"/>
  <c r="D6" i="8" s="1"/>
  <c r="K6" i="8" s="1"/>
  <c r="H89" i="3"/>
  <c r="I89" i="3"/>
  <c r="H81" i="3"/>
  <c r="J81" i="3"/>
  <c r="H71" i="3"/>
  <c r="I71" i="3"/>
  <c r="L71" i="3" s="1"/>
  <c r="G71" i="3"/>
  <c r="K71" i="3" s="1"/>
  <c r="H64" i="3"/>
  <c r="I64" i="3"/>
  <c r="J64" i="3"/>
  <c r="G64" i="3"/>
  <c r="H57" i="3"/>
  <c r="I57" i="3"/>
  <c r="J57" i="3"/>
  <c r="G57" i="3"/>
  <c r="H55" i="3"/>
  <c r="I55" i="3"/>
  <c r="J55" i="3"/>
  <c r="G55" i="3"/>
  <c r="H53" i="3"/>
  <c r="I53" i="3"/>
  <c r="J53" i="3"/>
  <c r="G53" i="3"/>
  <c r="G52" i="3" s="1"/>
  <c r="H31" i="5"/>
  <c r="H32" i="5"/>
  <c r="G31" i="5"/>
  <c r="G34" i="5"/>
  <c r="F35" i="5"/>
  <c r="E35" i="5"/>
  <c r="D35" i="5"/>
  <c r="C35" i="5"/>
  <c r="E33" i="5"/>
  <c r="D33" i="5"/>
  <c r="F33" i="5"/>
  <c r="C33" i="5"/>
  <c r="G32" i="5"/>
  <c r="G30" i="5"/>
  <c r="D29" i="5"/>
  <c r="E29" i="5"/>
  <c r="E27" i="5"/>
  <c r="D27" i="5"/>
  <c r="C27" i="5"/>
  <c r="C25" i="5"/>
  <c r="E25" i="5"/>
  <c r="D25" i="5"/>
  <c r="E23" i="5"/>
  <c r="D23" i="5"/>
  <c r="C23" i="5"/>
  <c r="D19" i="5"/>
  <c r="E19" i="5"/>
  <c r="F19" i="5"/>
  <c r="C19" i="5"/>
  <c r="D17" i="5"/>
  <c r="E17" i="5"/>
  <c r="F17" i="5"/>
  <c r="C17" i="5"/>
  <c r="D13" i="5"/>
  <c r="E13" i="5"/>
  <c r="F13" i="5"/>
  <c r="D11" i="5"/>
  <c r="E11" i="5"/>
  <c r="F11" i="5"/>
  <c r="C11" i="5"/>
  <c r="D9" i="5"/>
  <c r="E9" i="5"/>
  <c r="F9" i="5"/>
  <c r="C9" i="5"/>
  <c r="D7" i="5"/>
  <c r="E7" i="5"/>
  <c r="F7" i="5"/>
  <c r="C7" i="5"/>
  <c r="H8" i="5"/>
  <c r="H10" i="5"/>
  <c r="H12" i="5"/>
  <c r="H14" i="5"/>
  <c r="H15" i="5"/>
  <c r="H16" i="5"/>
  <c r="H18" i="5"/>
  <c r="H20" i="5"/>
  <c r="G8" i="5"/>
  <c r="G10" i="5"/>
  <c r="G12" i="5"/>
  <c r="G14" i="5"/>
  <c r="G15" i="5"/>
  <c r="G16" i="5"/>
  <c r="G18" i="5"/>
  <c r="G20" i="5"/>
  <c r="I22" i="1"/>
  <c r="J22" i="1"/>
  <c r="C8" i="8"/>
  <c r="H19" i="1"/>
  <c r="H23" i="1" s="1"/>
  <c r="I19" i="1"/>
  <c r="J19" i="1"/>
  <c r="K19" i="1" s="1"/>
  <c r="L11" i="3" l="1"/>
  <c r="K11" i="3"/>
  <c r="F22" i="5"/>
  <c r="G17" i="5"/>
  <c r="C22" i="5"/>
  <c r="H52" i="3"/>
  <c r="E8" i="8"/>
  <c r="E7" i="8" s="1"/>
  <c r="H34" i="1"/>
  <c r="L34" i="1" s="1"/>
  <c r="L23" i="1"/>
  <c r="L19" i="1"/>
  <c r="F8" i="8"/>
  <c r="F7" i="8" s="1"/>
  <c r="H7" i="8" s="1"/>
  <c r="K22" i="1"/>
  <c r="L22" i="1" s="1"/>
  <c r="K64" i="3"/>
  <c r="L64" i="3"/>
  <c r="L10" i="3"/>
  <c r="K53" i="3"/>
  <c r="L53" i="3"/>
  <c r="K57" i="3"/>
  <c r="L57" i="3"/>
  <c r="L55" i="3"/>
  <c r="K55" i="3"/>
  <c r="H59" i="3"/>
  <c r="K81" i="3"/>
  <c r="L81" i="3"/>
  <c r="K10" i="3"/>
  <c r="K96" i="3"/>
  <c r="J8" i="7"/>
  <c r="F9" i="7"/>
  <c r="F8" i="7" s="1"/>
  <c r="K8" i="7" s="1"/>
  <c r="H16" i="7"/>
  <c r="H62" i="7"/>
  <c r="H63" i="7"/>
  <c r="H25" i="7"/>
  <c r="F24" i="7"/>
  <c r="H17" i="5"/>
  <c r="J59" i="3"/>
  <c r="I59" i="3"/>
  <c r="I23" i="1"/>
  <c r="I34" i="1" s="1"/>
  <c r="H17" i="7"/>
  <c r="H10" i="7"/>
  <c r="H13" i="7"/>
  <c r="G9" i="7"/>
  <c r="G8" i="7" s="1"/>
  <c r="L8" i="7" s="1"/>
  <c r="H11" i="7"/>
  <c r="G11" i="5"/>
  <c r="G9" i="5"/>
  <c r="C7" i="8"/>
  <c r="C6" i="8" s="1"/>
  <c r="J6" i="8" s="1"/>
  <c r="G19" i="5"/>
  <c r="H9" i="5"/>
  <c r="H19" i="5"/>
  <c r="H25" i="5"/>
  <c r="H26" i="5"/>
  <c r="F6" i="5"/>
  <c r="H27" i="5"/>
  <c r="J52" i="3"/>
  <c r="J89" i="3"/>
  <c r="K89" i="3" s="1"/>
  <c r="G26" i="5"/>
  <c r="G29" i="5"/>
  <c r="F6" i="8"/>
  <c r="M6" i="8" s="1"/>
  <c r="E6" i="8"/>
  <c r="L6" i="8" s="1"/>
  <c r="G59" i="3"/>
  <c r="I52" i="3"/>
  <c r="G35" i="5"/>
  <c r="G13" i="5"/>
  <c r="H23" i="5"/>
  <c r="M22" i="5"/>
  <c r="H11" i="5"/>
  <c r="H13" i="5"/>
  <c r="G25" i="5"/>
  <c r="H29" i="5"/>
  <c r="H33" i="5"/>
  <c r="G27" i="5"/>
  <c r="H28" i="5"/>
  <c r="H35" i="5"/>
  <c r="G33" i="5"/>
  <c r="J22" i="5"/>
  <c r="G23" i="5"/>
  <c r="E22" i="5"/>
  <c r="L22" i="5" s="1"/>
  <c r="D22" i="5"/>
  <c r="K22" i="5" s="1"/>
  <c r="H7" i="5"/>
  <c r="G36" i="5"/>
  <c r="G28" i="5"/>
  <c r="G24" i="5"/>
  <c r="H34" i="5"/>
  <c r="H30" i="5"/>
  <c r="E6" i="5"/>
  <c r="D6" i="5"/>
  <c r="H36" i="5"/>
  <c r="H24" i="5"/>
  <c r="C6" i="5"/>
  <c r="G7" i="5"/>
  <c r="J23" i="1"/>
  <c r="J34" i="1" s="1"/>
  <c r="H8" i="8" l="1"/>
  <c r="G8" i="8"/>
  <c r="H51" i="3"/>
  <c r="H50" i="3" s="1"/>
  <c r="O50" i="3" s="1"/>
  <c r="G51" i="3"/>
  <c r="K34" i="1"/>
  <c r="K23" i="1"/>
  <c r="K52" i="3"/>
  <c r="L52" i="3"/>
  <c r="K59" i="3"/>
  <c r="L59" i="3"/>
  <c r="L89" i="3"/>
  <c r="H24" i="7"/>
  <c r="F23" i="7"/>
  <c r="H23" i="7" s="1"/>
  <c r="J51" i="3"/>
  <c r="G6" i="8"/>
  <c r="G7" i="8"/>
  <c r="H9" i="7"/>
  <c r="H8" i="7" s="1"/>
  <c r="H6" i="8"/>
  <c r="G6" i="5"/>
  <c r="H6" i="5"/>
  <c r="I51" i="3"/>
  <c r="H22" i="5"/>
  <c r="G22" i="5"/>
  <c r="G50" i="3" l="1"/>
  <c r="N50" i="3" s="1"/>
  <c r="J50" i="3"/>
  <c r="Q50" i="3" s="1"/>
  <c r="K51" i="3"/>
  <c r="L51" i="3"/>
  <c r="I50" i="3"/>
  <c r="P50" i="3" s="1"/>
  <c r="K50" i="3" l="1"/>
  <c r="L50" i="3"/>
</calcChain>
</file>

<file path=xl/sharedStrings.xml><?xml version="1.0" encoding="utf-8"?>
<sst xmlns="http://schemas.openxmlformats.org/spreadsheetml/2006/main" count="434" uniqueCount="295">
  <si>
    <t>PRIHODI UKUPNO</t>
  </si>
  <si>
    <t>RASHODI UKUPNO</t>
  </si>
  <si>
    <t>RAZLIKA - VIŠAK / MANJAK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</si>
  <si>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</si>
  <si>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</si>
  <si>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</si>
  <si>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</si>
  <si>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</si>
  <si>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</si>
  <si>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</si>
  <si>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</si>
  <si>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</si>
  <si>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</si>
  <si>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</si>
  <si>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</si>
  <si>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</si>
  <si>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</si>
  <si>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</si>
  <si>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</si>
  <si>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</si>
  <si>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</si>
  <si>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</si>
  <si>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</si>
  <si>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</si>
  <si>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</si>
  <si>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</si>
  <si>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</si>
  <si>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</si>
  <si>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</si>
  <si>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</si>
  <si>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</si>
  <si>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</si>
  <si>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</si>
  <si>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</si>
  <si>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</si>
  <si>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</si>
  <si>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</si>
  <si>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</si>
  <si>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</si>
  <si>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</si>
  <si>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</si>
  <si>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</si>
  <si>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</si>
  <si>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</si>
  <si>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</si>
  <si>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</si>
  <si>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</si>
  <si>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</si>
  <si>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</si>
  <si>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</si>
  <si>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</si>
  <si>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</si>
  <si>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</si>
  <si>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</si>
  <si>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</si>
  <si>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Prihodi poslovanja </t>
  </si>
  <si>
    <t>632</t>
  </si>
  <si>
    <t>Pomoći od međunarodnih organizacija te institucija  i tijela EU</t>
  </si>
  <si>
    <t>6324</t>
  </si>
  <si>
    <t>Kapitalne pomoći od institucija i tijela EU</t>
  </si>
  <si>
    <t>634</t>
  </si>
  <si>
    <t>Pomoći od izvanproračunskih korisnika</t>
  </si>
  <si>
    <t>6341</t>
  </si>
  <si>
    <t xml:space="preserve">Tekuće pomoći od izvanproračunskih korisnika </t>
  </si>
  <si>
    <t>6342</t>
  </si>
  <si>
    <t>Kapitalne pomoći od izvanproračunskih korisnika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</si>
  <si>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</si>
  <si>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</si>
  <si>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</si>
  <si>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</si>
  <si>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</si>
  <si>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prijenosti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</si>
  <si>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</si>
  <si>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</si>
  <si>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</si>
  <si>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</si>
  <si>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</si>
  <si>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</si>
  <si>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nakanda</t>
  </si>
  <si>
    <t>Prihodi po posebnim propisima</t>
  </si>
  <si>
    <t xml:space="preserve">Ostali nespomenuti prihodi </t>
  </si>
  <si>
    <t>Prihodi od prodaje proizvoda i robe te pruženih usluga i prihodi od donacija</t>
  </si>
  <si>
    <t>661</t>
  </si>
  <si>
    <t>6614</t>
  </si>
  <si>
    <t>6615</t>
  </si>
  <si>
    <t>Prihodi od pruženih usluga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</si>
  <si>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</si>
  <si>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</si>
  <si>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</si>
  <si>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</si>
  <si>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68</t>
  </si>
  <si>
    <t>Kazne, upravne mjere i ostali prihodi</t>
  </si>
  <si>
    <t>683</t>
  </si>
  <si>
    <t>Ostali prihodi</t>
  </si>
  <si>
    <t>6831</t>
  </si>
  <si>
    <t>Uredska oprema i namještaj</t>
  </si>
  <si>
    <t>Uređaji, strojevi i oprema za ostale namjene</t>
  </si>
  <si>
    <t>Prijevozna sredstva u cestovnom prometu</t>
  </si>
  <si>
    <t>PROGRAM  3401 ZAŠTITA PRIRODE</t>
  </si>
  <si>
    <t>A779000 Administracija i upravljanje</t>
  </si>
  <si>
    <t>Izvor: 1 Opći proračun</t>
  </si>
  <si>
    <t>Izvor: 11 Opći prihodi i primici</t>
  </si>
  <si>
    <t>31 Rashodi za zaposlene</t>
  </si>
  <si>
    <t>3111 Plaće za redovan rad</t>
  </si>
  <si>
    <t>3121 Ostali rashodi za zaposlene</t>
  </si>
  <si>
    <t>3132 Doprinosi za obvezno zdravstveno osiguranje</t>
  </si>
  <si>
    <t>32 Materijalni rashodi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</si>
  <si>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</si>
  <si>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</si>
  <si>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</si>
  <si>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</si>
  <si>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</si>
  <si>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</si>
  <si>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</si>
  <si>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</si>
  <si>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</si>
  <si>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</si>
  <si>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</si>
  <si>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</si>
  <si>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</si>
  <si>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</si>
  <si>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</si>
  <si>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</si>
  <si>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</si>
  <si>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</si>
  <si>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</si>
  <si>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</t>
  </si>
  <si>
    <t>34 Financijski rashodi</t>
  </si>
  <si>
    <t>3431 Bankarske usluge i usluge platnog prometa</t>
  </si>
  <si>
    <t>A779021 Zaštita prirode</t>
  </si>
  <si>
    <t>A779047 ADMINISTRACIJA I UPRAVLJANJE (IZ EVIDENCIJSKIH PRIHODA)</t>
  </si>
  <si>
    <t>Izvor: 3 Vlastiti prihodi</t>
  </si>
  <si>
    <t>Izvor: 31 Vlastiti prihodi</t>
  </si>
  <si>
    <t>42 Rashodi za nabavu proizvedene dugotrajne imovine</t>
  </si>
  <si>
    <t>4227 Uređaji, strojevi i oprema za ostale namjene</t>
  </si>
  <si>
    <t>Izvor: 4 Prihodi posebne namjene</t>
  </si>
  <si>
    <t>Izvor: 43 Ostali prihodi za posebne namjene</t>
  </si>
  <si>
    <t>3293 Reprezentacija</t>
  </si>
  <si>
    <t>3299 Ostali nespomenuti rashodi poslovanja</t>
  </si>
  <si>
    <t>Izvor: 5 Pomoći</t>
  </si>
  <si>
    <t>Izvor: 52 Ostale pomoći</t>
  </si>
  <si>
    <t>4 Prihodi posebne namjene</t>
  </si>
  <si>
    <t xml:space="preserve">  43 Ostali prihodi za posebne namjene</t>
  </si>
  <si>
    <t>5 Pomoći</t>
  </si>
  <si>
    <t xml:space="preserve">  52 Ostale pomoći</t>
  </si>
  <si>
    <t xml:space="preserve">  56 Fondovi EU</t>
  </si>
  <si>
    <t xml:space="preserve">  563 Europski fond za regionalni razvoj (ERDF)</t>
  </si>
  <si>
    <t xml:space="preserve">6 Donacije </t>
  </si>
  <si>
    <t xml:space="preserve">  61 Donacije</t>
  </si>
  <si>
    <t>7 Prihodi od prodaje ili zamjene nefinancijske imovine i naknade s naslova osiguranja</t>
  </si>
  <si>
    <t xml:space="preserve">  71 Prihodi od prodaje ili zamjene nefinancijske imovine i naknade s naslova osiguranja</t>
  </si>
  <si>
    <t>312</t>
  </si>
  <si>
    <t>Ostali rashodi za zaposlene</t>
  </si>
  <si>
    <t>3121</t>
  </si>
  <si>
    <t>Doprinosi na plaće</t>
  </si>
  <si>
    <t>Doprinosi za obvezno zdravstveno osiguranje</t>
  </si>
  <si>
    <t>3211</t>
  </si>
  <si>
    <t>3212</t>
  </si>
  <si>
    <t>Naknade za prijevoz, za rad na terenu i odvojeni život</t>
  </si>
  <si>
    <t>3213</t>
  </si>
  <si>
    <t>Stručno usavršavanje zaposlenika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</si>
  <si>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</si>
  <si>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</si>
  <si>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</si>
  <si>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</si>
  <si>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</si>
  <si>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</si>
  <si>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</si>
  <si>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</si>
  <si>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</si>
  <si>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</si>
  <si>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</si>
  <si>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</si>
  <si>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</si>
  <si>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</si>
  <si>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</si>
  <si>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</si>
  <si>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</si>
  <si>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</si>
  <si>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Usluge promidžbe i informiranja</t>
  </si>
  <si>
    <t>3234</t>
  </si>
  <si>
    <t>Komunalne usluge</t>
  </si>
  <si>
    <t>Zakupnine i najamnine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</si>
  <si>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</si>
  <si>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</si>
  <si>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</si>
  <si>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</si>
  <si>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</si>
  <si>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</si>
  <si>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Ostali nespomenuti rashodi poslovanja</t>
  </si>
  <si>
    <t>3291</t>
  </si>
  <si>
    <t>Naknade za rad predstavničkih i izvršnih tijela, povjerenstava i slično</t>
  </si>
  <si>
    <t>Premije osiguranja</t>
  </si>
  <si>
    <t>3293</t>
  </si>
  <si>
    <t>Reprezentacija</t>
  </si>
  <si>
    <t>Članarine</t>
  </si>
  <si>
    <t>3299</t>
  </si>
  <si>
    <t>Financijski rashodi</t>
  </si>
  <si>
    <t>Ostali financijski rashodi</t>
  </si>
  <si>
    <t>3431</t>
  </si>
  <si>
    <t>Bankarske usluge i usluge platnog prometa</t>
  </si>
  <si>
    <t>36</t>
  </si>
  <si>
    <t>Pomoći dane u inozemstvo i unutar općeg proračuna</t>
  </si>
  <si>
    <t>Prijenosi između proračunskog korisnika istog proračuna</t>
  </si>
  <si>
    <t xml:space="preserve">Naknade troškova osobama izvan radnog odnosa </t>
  </si>
  <si>
    <t>Rashodi za nabavu proizvedene dug. imovine</t>
  </si>
  <si>
    <t>421</t>
  </si>
  <si>
    <t>Građevinski objekti</t>
  </si>
  <si>
    <t>4212</t>
  </si>
  <si>
    <t>Poslovni objekti</t>
  </si>
  <si>
    <t>4214</t>
  </si>
  <si>
    <t>Ostali građevinski objekti</t>
  </si>
  <si>
    <t>Postrojenja i oprema</t>
  </si>
  <si>
    <t>4221</t>
  </si>
  <si>
    <t>4223</t>
  </si>
  <si>
    <t>Oprema za održavanje i zaštitu</t>
  </si>
  <si>
    <t>4227</t>
  </si>
  <si>
    <t>423</t>
  </si>
  <si>
    <t>Prijevozna sredstva</t>
  </si>
  <si>
    <t>4231</t>
  </si>
  <si>
    <t>424</t>
  </si>
  <si>
    <t>Knjige, umjetnička djela i ostale izložbene vrijednosti</t>
  </si>
  <si>
    <t>4244</t>
  </si>
  <si>
    <t>Ostale nespomenute izložbene vrijednosti</t>
  </si>
  <si>
    <t>45</t>
  </si>
  <si>
    <t>Rashodi za dodatna ulaganja na nefinancijskoj imovini</t>
  </si>
  <si>
    <t>451</t>
  </si>
  <si>
    <t xml:space="preserve">Dodatna ulaganja na građevinskim objektima </t>
  </si>
  <si>
    <t>4511</t>
  </si>
  <si>
    <t>054 Zaštita bioraznolikosti i krajolika</t>
  </si>
  <si>
    <t>05 Zaštita okoliša</t>
  </si>
  <si>
    <t>Izvor 1</t>
  </si>
  <si>
    <t>Opći proračun</t>
  </si>
  <si>
    <t>Izvor 11</t>
  </si>
  <si>
    <t>Vlastiti prihodi</t>
  </si>
  <si>
    <t>Izvor 3</t>
  </si>
  <si>
    <t>Izvor 31</t>
  </si>
  <si>
    <t>Izvor 4</t>
  </si>
  <si>
    <t>Izvor 5</t>
  </si>
  <si>
    <t>Izvor 52</t>
  </si>
  <si>
    <t>Izvor 6</t>
  </si>
  <si>
    <t>Izvor 61</t>
  </si>
  <si>
    <t>Izvor 7</t>
  </si>
  <si>
    <t>Izvor 71</t>
  </si>
  <si>
    <t>Pomoći</t>
  </si>
  <si>
    <t>Donacije</t>
  </si>
  <si>
    <t>Prihodi od prodaje ili zamjene nefinancijske imovine</t>
  </si>
  <si>
    <t>34 ZAŠTITA I OČUVANJE PRIRODE I OKOLIŠA</t>
  </si>
  <si>
    <t xml:space="preserve">  Opći prihodi i primici</t>
  </si>
  <si>
    <t xml:space="preserve">  Ostali prihodi za posebne namjene</t>
  </si>
  <si>
    <t xml:space="preserve">  Ostale pomoći</t>
  </si>
  <si>
    <t xml:space="preserve">  Donacie</t>
  </si>
  <si>
    <t>NACIONALNI PARKOVI I PARKOVI PRIRODE</t>
  </si>
  <si>
    <t>+</t>
  </si>
  <si>
    <t>-</t>
  </si>
  <si>
    <t>Tekuće pomoći od institucija i tijela EU</t>
  </si>
  <si>
    <t>6393</t>
  </si>
  <si>
    <t>Tekući prijenosi između proračunskih korisnika istog proračuna temeljem prijenosa EU redstava</t>
  </si>
  <si>
    <t>Prihodi iz nadležnog proračuna i od HZZO-a temeljem ugovornih obveza</t>
  </si>
  <si>
    <t>JAVNA USTANOVA PARK PRIRODE ŽUMBERAK -SAMOBORSKO GORJE</t>
  </si>
  <si>
    <t>Izvor 43</t>
  </si>
  <si>
    <t>EUR</t>
  </si>
  <si>
    <t xml:space="preserve">OSTVARENJE/IZVRŠENJE 
1.-12.2023. </t>
  </si>
  <si>
    <t xml:space="preserve">OSTVARENJE/ IZVRŠENJE 
1.-12.2023. </t>
  </si>
  <si>
    <t>Pomoći proračunskim korisnicima iz proračuna koji im nije nadležan</t>
  </si>
  <si>
    <t>Teuće pomoći proračunskim korisnicima iz proračuna koji im nije nadležan</t>
  </si>
  <si>
    <t>Tekuće donacije</t>
  </si>
  <si>
    <t>Ostale kazne</t>
  </si>
  <si>
    <t>Kazne i upravne mjere</t>
  </si>
  <si>
    <t>3433</t>
  </si>
  <si>
    <t>Zatezne kamate</t>
  </si>
  <si>
    <t xml:space="preserve"> IZVRŠENJE 
1.-12.2023. </t>
  </si>
  <si>
    <t>36 Pomoći dane u inozemstvo i unutar općeg proračuna</t>
  </si>
  <si>
    <t>3691 Tekući prijenosi između proračunskih korisnika istog proračuna</t>
  </si>
  <si>
    <t>3227 Službena,radna i zaštitna odjeća i obuća</t>
  </si>
  <si>
    <t>Izvor: 56 Fondovi EU</t>
  </si>
  <si>
    <t>K779040 OPERATIVNI PROGRAM KONKURENTNOSTI I KOHEZIJE</t>
  </si>
  <si>
    <t>Izvor 56</t>
  </si>
  <si>
    <t>Fondovi EU</t>
  </si>
  <si>
    <t>Izvor: 6 Donacije</t>
  </si>
  <si>
    <t>Izvor: 61 Donacije</t>
  </si>
  <si>
    <t>Plavo obojane ćelije u stupcima 2-5 imaju upisane formule, u njih se podaci ne unose, nego se izračunavaju temeljem podataka unesenih u bijele ćelije.</t>
  </si>
  <si>
    <t>U stupcima 6 i 7 formule su unesene u sve ćelije (i plavo i bijelo obojane). Izračuni će se pojaviti s unosom podataka u stupce 2-5.</t>
  </si>
  <si>
    <t xml:space="preserve">OSTVARENJE/IZVRŠENJE 2023. </t>
  </si>
  <si>
    <t>Iznosi u stupcima "OSTVARENJE/IZVRŠENJE 2023." i "OSTVARENJE/IZVRŠENJE 2024." iskazuju se na dvije decimale. U stupcima u kojima se iskazuje plan iznosi se iskazuju isključivo bez decimala.</t>
  </si>
  <si>
    <t xml:space="preserve">OSTVARENJE/IZVRŠENJE 
2023. </t>
  </si>
  <si>
    <t>IZVORNI PLAN ILI REBALANS 2024.*</t>
  </si>
  <si>
    <t>TEKUĆI PLAN 2024.*</t>
  </si>
  <si>
    <t xml:space="preserve">OSTVARENJE/IZVRŠENJE 2024. </t>
  </si>
  <si>
    <t xml:space="preserve">OSTVARENJE/ IZVRŠENJE 
1.-12.2024. </t>
  </si>
  <si>
    <t xml:space="preserve"> IZVRŠENJE 
1.-12.2024. </t>
  </si>
  <si>
    <t xml:space="preserve">OSTVARENJE/IZVRŠENJE 
1.-12.2024. </t>
  </si>
  <si>
    <t>Izvor: 7 Prihod od prodaje nefinancijske imovine</t>
  </si>
  <si>
    <t>Izvor: 71  Prihod od prodaje nefinancijske imovine</t>
  </si>
  <si>
    <t>IZVRŠENJE FINANCIJSKOG PLANA PRORAČUNSKOG KORISNIKA DRŽAVNOG PRORAČUNA
ZA 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</si>
</sst>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43" fontId="23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" fontId="3" fillId="0" borderId="3" xfId="0" applyNumberFormat="1" applyFont="1" applyBorder="1" applyAlignment="1">
      <alignment horizontal="right"/>
    </xf>
    <xf numFmtId="0" fontId="13" fillId="0" borderId="0" xfId="0" applyFont="1"/>
    <xf numFmtId="0" fontId="14" fillId="0" borderId="5" xfId="0" applyFont="1" applyBorder="1" applyAlignment="1">
      <alignment horizontal="right" vertical="center"/>
    </xf>
    <xf numFmtId="0" fontId="15" fillId="0" borderId="0" xfId="0" applyFont="1"/>
    <xf numFmtId="0" fontId="1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5" fillId="0" borderId="3" xfId="0" applyFont="1" applyBorder="1"/>
    <xf numFmtId="4" fontId="15" fillId="0" borderId="3" xfId="0" applyNumberFormat="1" applyFont="1" applyBorder="1"/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" fontId="16" fillId="2" borderId="3" xfId="0" applyNumberFormat="1" applyFont="1" applyFill="1" applyBorder="1" applyAlignment="1">
      <alignment wrapText="1"/>
    </xf>
    <xf numFmtId="4" fontId="16" fillId="2" borderId="3" xfId="0" applyNumberFormat="1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16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4" fontId="16" fillId="0" borderId="3" xfId="0" applyNumberFormat="1" applyFont="1" applyBorder="1" applyAlignment="1">
      <alignment horizontal="right"/>
    </xf>
    <xf numFmtId="0" fontId="12" fillId="4" borderId="6" xfId="0" applyFont="1" applyFill="1" applyBorder="1" applyAlignment="1">
      <alignment wrapText="1"/>
    </xf>
    <xf numFmtId="4" fontId="5" fillId="2" borderId="3" xfId="0" applyNumberFormat="1" applyFont="1" applyFill="1" applyBorder="1"/>
    <xf numFmtId="4" fontId="12" fillId="4" borderId="7" xfId="0" applyNumberFormat="1" applyFont="1" applyFill="1" applyBorder="1" applyAlignment="1">
      <alignment wrapText="1"/>
    </xf>
    <xf numFmtId="2" fontId="15" fillId="0" borderId="3" xfId="0" applyNumberFormat="1" applyFont="1" applyBorder="1"/>
    <xf numFmtId="4" fontId="15" fillId="2" borderId="3" xfId="0" applyNumberFormat="1" applyFont="1" applyFill="1" applyBorder="1" applyAlignment="1">
      <alignment wrapText="1"/>
    </xf>
    <xf numFmtId="4" fontId="15" fillId="2" borderId="3" xfId="0" applyNumberFormat="1" applyFont="1" applyFill="1" applyBorder="1"/>
    <xf numFmtId="0" fontId="15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 indent="1"/>
    </xf>
    <xf numFmtId="4" fontId="17" fillId="0" borderId="3" xfId="0" applyNumberFormat="1" applyFont="1" applyBorder="1" applyAlignment="1">
      <alignment horizontal="right" wrapText="1"/>
    </xf>
    <xf numFmtId="4" fontId="16" fillId="3" borderId="3" xfId="0" applyNumberFormat="1" applyFont="1" applyFill="1" applyBorder="1" applyAlignment="1">
      <alignment wrapText="1"/>
    </xf>
    <xf numFmtId="4" fontId="16" fillId="3" borderId="3" xfId="0" applyNumberFormat="1" applyFont="1" applyFill="1" applyBorder="1"/>
    <xf numFmtId="0" fontId="19" fillId="0" borderId="0" xfId="0" applyFont="1" applyAlignment="1">
      <alignment wrapText="1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6" fillId="0" borderId="0" xfId="0" applyFont="1" applyAlignment="1">
      <alignment vertical="top" wrapText="1"/>
    </xf>
    <xf numFmtId="2" fontId="16" fillId="0" borderId="3" xfId="0" applyNumberFormat="1" applyFont="1" applyBorder="1"/>
    <xf numFmtId="0" fontId="5" fillId="3" borderId="4" xfId="0" applyFont="1" applyFill="1" applyBorder="1" applyAlignment="1">
      <alignment horizontal="left" vertical="center" wrapText="1"/>
    </xf>
    <xf numFmtId="0" fontId="21" fillId="0" borderId="0" xfId="0" applyFont="1"/>
    <xf numFmtId="4" fontId="15" fillId="0" borderId="0" xfId="0" applyNumberFormat="1" applyFont="1"/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0" fontId="16" fillId="0" borderId="3" xfId="0" quotePrefix="1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 wrapText="1"/>
    </xf>
    <xf numFmtId="4" fontId="16" fillId="3" borderId="3" xfId="0" applyNumberFormat="1" applyFont="1" applyFill="1" applyBorder="1" applyAlignment="1">
      <alignment vertical="center" wrapText="1"/>
    </xf>
    <xf numFmtId="0" fontId="16" fillId="0" borderId="3" xfId="0" quotePrefix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 wrapText="1"/>
    </xf>
    <xf numFmtId="4" fontId="16" fillId="3" borderId="3" xfId="0" quotePrefix="1" applyNumberFormat="1" applyFont="1" applyFill="1" applyBorder="1" applyAlignment="1">
      <alignment horizontal="right" wrapText="1"/>
    </xf>
    <xf numFmtId="4" fontId="16" fillId="3" borderId="3" xfId="0" applyNumberFormat="1" applyFont="1" applyFill="1" applyBorder="1" applyAlignment="1">
      <alignment horizontal="right" wrapText="1"/>
    </xf>
    <xf numFmtId="0" fontId="17" fillId="0" borderId="2" xfId="0" applyFont="1" applyBorder="1"/>
    <xf numFmtId="0" fontId="16" fillId="0" borderId="4" xfId="0" applyFont="1" applyBorder="1"/>
    <xf numFmtId="0" fontId="12" fillId="0" borderId="2" xfId="0" applyFont="1" applyBorder="1"/>
    <xf numFmtId="0" fontId="15" fillId="0" borderId="4" xfId="0" applyFont="1" applyBorder="1"/>
    <xf numFmtId="0" fontId="16" fillId="2" borderId="2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5" fillId="2" borderId="2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/>
    <xf numFmtId="4" fontId="3" fillId="5" borderId="3" xfId="0" applyNumberFormat="1" applyFont="1" applyFill="1" applyBorder="1" applyAlignment="1">
      <alignment horizontal="right"/>
    </xf>
    <xf numFmtId="0" fontId="15" fillId="5" borderId="3" xfId="0" applyFont="1" applyFill="1" applyBorder="1" applyAlignment="1">
      <alignment horizontal="left"/>
    </xf>
    <xf numFmtId="4" fontId="15" fillId="5" borderId="3" xfId="0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>
      <alignment horizontal="right"/>
    </xf>
    <xf numFmtId="49" fontId="15" fillId="5" borderId="3" xfId="0" applyNumberFormat="1" applyFont="1" applyFill="1" applyBorder="1" applyAlignment="1">
      <alignment horizontal="center" vertical="center"/>
    </xf>
    <xf numFmtId="49" fontId="15" fillId="5" borderId="3" xfId="0" applyNumberFormat="1" applyFont="1" applyFill="1" applyBorder="1" applyAlignment="1">
      <alignment vertical="center"/>
    </xf>
    <xf numFmtId="4" fontId="6" fillId="5" borderId="3" xfId="0" applyNumberFormat="1" applyFont="1" applyFill="1" applyBorder="1" applyAlignment="1">
      <alignment horizontal="right" vertical="center" wrapText="1"/>
    </xf>
    <xf numFmtId="4" fontId="15" fillId="5" borderId="3" xfId="0" applyNumberFormat="1" applyFont="1" applyFill="1" applyBorder="1" applyAlignment="1">
      <alignment horizontal="right"/>
    </xf>
    <xf numFmtId="0" fontId="15" fillId="5" borderId="3" xfId="0" applyFont="1" applyFill="1" applyBorder="1" applyAlignment="1">
      <alignment vertical="center"/>
    </xf>
    <xf numFmtId="49" fontId="15" fillId="5" borderId="3" xfId="0" applyNumberFormat="1" applyFont="1" applyFill="1" applyBorder="1" applyAlignment="1">
      <alignment horizontal="right" vertical="center"/>
    </xf>
    <xf numFmtId="4" fontId="15" fillId="5" borderId="3" xfId="0" applyNumberFormat="1" applyFont="1" applyFill="1" applyBorder="1" applyAlignment="1">
      <alignment horizontal="right" vertical="center"/>
    </xf>
    <xf numFmtId="4" fontId="15" fillId="5" borderId="3" xfId="0" applyNumberFormat="1" applyFont="1" applyFill="1" applyBorder="1" applyAlignment="1">
      <alignment vertical="center"/>
    </xf>
    <xf numFmtId="4" fontId="15" fillId="5" borderId="3" xfId="0" applyNumberFormat="1" applyFont="1" applyFill="1" applyBorder="1" applyAlignment="1">
      <alignment horizontal="right" vertical="center" wrapText="1"/>
    </xf>
    <xf numFmtId="0" fontId="0" fillId="5" borderId="0" xfId="0" applyFill="1"/>
    <xf numFmtId="4" fontId="0" fillId="0" borderId="0" xfId="0" applyNumberFormat="1"/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vertical="center"/>
    </xf>
    <xf numFmtId="43" fontId="15" fillId="0" borderId="0" xfId="2" applyFont="1"/>
    <xf numFmtId="4" fontId="16" fillId="2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4" fontId="13" fillId="0" borderId="0" xfId="0" applyNumberFormat="1" applyFont="1"/>
    <xf numFmtId="43" fontId="0" fillId="0" borderId="0" xfId="2" applyFont="1"/>
    <xf numFmtId="43" fontId="0" fillId="2" borderId="0" xfId="2" applyFont="1" applyFill="1"/>
    <xf numFmtId="43" fontId="16" fillId="0" borderId="0" xfId="2" applyFont="1"/>
    <xf numFmtId="43" fontId="16" fillId="0" borderId="0" xfId="2" applyFont="1" applyAlignment="1">
      <alignment vertical="top" wrapText="1"/>
    </xf>
    <xf numFmtId="43" fontId="15" fillId="0" borderId="0" xfId="0" applyNumberFormat="1" applyFont="1"/>
    <xf numFmtId="43" fontId="15" fillId="0" borderId="0" xfId="2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left" wrapText="1"/>
    </xf>
    <xf numFmtId="0" fontId="17" fillId="0" borderId="2" xfId="0" applyFont="1" applyBorder="1"/>
    <xf numFmtId="0" fontId="16" fillId="0" borderId="4" xfId="0" applyFont="1" applyBorder="1"/>
    <xf numFmtId="0" fontId="15" fillId="2" borderId="1" xfId="0" applyFont="1" applyFill="1" applyBorder="1" applyAlignment="1">
      <alignment horizontal="left" wrapText="1"/>
    </xf>
    <xf numFmtId="0" fontId="12" fillId="0" borderId="2" xfId="0" applyFont="1" applyBorder="1"/>
    <xf numFmtId="0" fontId="15" fillId="0" borderId="4" xfId="0" applyFont="1" applyBorder="1"/>
    <xf numFmtId="0" fontId="15" fillId="2" borderId="2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2" fontId="16" fillId="2" borderId="3" xfId="0" applyNumberFormat="1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>
      <alignment horizontal="left" wrapText="1"/>
    </xf>
    <xf numFmtId="0" fontId="15" fillId="2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6" fillId="3" borderId="2" xfId="0" applyFont="1" applyFill="1" applyBorder="1"/>
    <xf numFmtId="0" fontId="16" fillId="3" borderId="4" xfId="0" applyFont="1" applyFill="1" applyBorder="1"/>
    <xf numFmtId="0" fontId="16" fillId="2" borderId="2" xfId="0" applyFont="1" applyFill="1" applyBorder="1"/>
    <xf numFmtId="0" fontId="16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wrapText="1"/>
    </xf>
    <xf numFmtId="0" fontId="17" fillId="3" borderId="2" xfId="0" applyFont="1" applyFill="1" applyBorder="1"/>
  </cellXfs>
  <cellStyles count="3">
    <cellStyle name="Normalno" xfId="0" builtinId="0"/>
    <cellStyle name="Obično_List4" xfId="1" xr:uid="{00000000-0005-0000-0000-000001000000}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38099</xdr:rowOff>
    </xdr:from>
    <xdr:to>
      <xdr:col>11</xdr:col>
      <xdr:colOff>781050</xdr:colOff>
      <xdr:row>6</xdr:row>
      <xdr:rowOff>161924</xdr:rowOff>
    </xdr:to>
    <xdr:pic>
      <xdr:nvPicPr>
        <xdr:cNvPr id="2" name="Slika 7">
          <a:extLst>
            <a:ext uri="{FF2B5EF4-FFF2-40B4-BE49-F238E27FC236}">
              <a16:creationId xmlns:a16="http://schemas.microsoft.com/office/drawing/2014/main" id="{F881373A-4145-ADA5-DF8C-0242D6622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5"/>
        <a:stretch/>
      </xdr:blipFill>
      <xdr:spPr>
        <a:xfrm>
          <a:off x="638175" y="38099"/>
          <a:ext cx="126682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W83"/>
  <sheetViews>
    <sheetView zoomScaleNormal="100" workbookViewId="0">
      <selection activeCell="B9" sqref="B9"/>
    </sheetView>
  </sheetViews>
  <sheetFormatPr defaultRowHeight="14.25" x14ac:dyDescent="0.2"/>
  <cols>
    <col min="1" max="5" width="9.140625" style="27"/>
    <col min="6" max="10" width="25.28515625" style="27" customWidth="1"/>
    <col min="11" max="12" width="15.7109375" style="27" customWidth="1"/>
    <col min="13" max="13" width="25.28515625" style="27" customWidth="1"/>
    <col min="14" max="16384" width="9.140625" style="27"/>
  </cols>
  <sheetData>
    <row r="8" spans="1:13" ht="42" customHeight="1" x14ac:dyDescent="0.2">
      <c r="B8" s="134" t="s">
        <v>294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6"/>
    </row>
    <row r="9" spans="1:13" ht="18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 customHeight="1" x14ac:dyDescent="0.2">
      <c r="B10" s="134" t="s">
        <v>10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5"/>
    </row>
    <row r="11" spans="1:13" ht="18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ht="18" customHeight="1" x14ac:dyDescent="0.2">
      <c r="B12" s="134" t="s">
        <v>46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75"/>
    </row>
    <row r="13" spans="1:13" ht="18" customHeight="1" x14ac:dyDescent="0.2">
      <c r="A13" s="27" t="s">
        <v>261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75"/>
    </row>
    <row r="14" spans="1:13" ht="18" customHeight="1" x14ac:dyDescent="0.2">
      <c r="A14" s="29"/>
      <c r="B14" s="149" t="s">
        <v>54</v>
      </c>
      <c r="C14" s="149"/>
      <c r="D14" s="149"/>
      <c r="E14" s="149"/>
      <c r="F14" s="149"/>
      <c r="G14" s="84"/>
      <c r="H14" s="30"/>
      <c r="I14" s="30"/>
      <c r="J14" s="30"/>
      <c r="K14" s="85"/>
      <c r="L14" s="28"/>
    </row>
    <row r="15" spans="1:13" ht="25.5" x14ac:dyDescent="0.2">
      <c r="A15" s="29"/>
      <c r="B15" s="143" t="s">
        <v>6</v>
      </c>
      <c r="C15" s="143"/>
      <c r="D15" s="143"/>
      <c r="E15" s="143"/>
      <c r="F15" s="143"/>
      <c r="G15" s="86" t="s">
        <v>285</v>
      </c>
      <c r="H15" s="86" t="s">
        <v>286</v>
      </c>
      <c r="I15" s="86" t="s">
        <v>287</v>
      </c>
      <c r="J15" s="86" t="s">
        <v>288</v>
      </c>
      <c r="K15" s="86" t="s">
        <v>18</v>
      </c>
      <c r="L15" s="17" t="s">
        <v>44</v>
      </c>
    </row>
    <row r="16" spans="1:13" x14ac:dyDescent="0.2">
      <c r="A16" s="29"/>
      <c r="B16" s="144">
        <v>1</v>
      </c>
      <c r="C16" s="144"/>
      <c r="D16" s="144"/>
      <c r="E16" s="144"/>
      <c r="F16" s="145"/>
      <c r="G16" s="86">
        <v>2</v>
      </c>
      <c r="H16" s="87">
        <v>3</v>
      </c>
      <c r="I16" s="87">
        <v>4</v>
      </c>
      <c r="J16" s="87">
        <v>5</v>
      </c>
      <c r="K16" s="87" t="s">
        <v>31</v>
      </c>
      <c r="L16" s="2" t="s">
        <v>32</v>
      </c>
    </row>
    <row r="17" spans="1:49" x14ac:dyDescent="0.2">
      <c r="A17" s="29"/>
      <c r="B17" s="139" t="s">
        <v>20</v>
      </c>
      <c r="C17" s="140"/>
      <c r="D17" s="140"/>
      <c r="E17" s="140"/>
      <c r="F17" s="141"/>
      <c r="G17" s="56">
        <v>499112.34</v>
      </c>
      <c r="H17" s="53">
        <v>870223</v>
      </c>
      <c r="I17" s="53">
        <v>870223</v>
      </c>
      <c r="J17" s="53">
        <v>908086.97</v>
      </c>
      <c r="K17" s="26">
        <f t="shared" ref="K17:L23" si="0">IF(G17&gt;0,J17/G17*100,"x")</f>
        <v>181.94039642458046</v>
      </c>
      <c r="L17" s="26">
        <f>IF(H17&gt;0,K17/H17*100,"x")</f>
        <v>2.0907330238867563E-2</v>
      </c>
    </row>
    <row r="18" spans="1:49" x14ac:dyDescent="0.2">
      <c r="A18" s="29"/>
      <c r="B18" s="142" t="s">
        <v>19</v>
      </c>
      <c r="C18" s="141"/>
      <c r="D18" s="141"/>
      <c r="E18" s="141"/>
      <c r="F18" s="141"/>
      <c r="G18" s="56">
        <v>0</v>
      </c>
      <c r="H18" s="53">
        <f>+I18</f>
        <v>0</v>
      </c>
      <c r="I18" s="53">
        <v>0</v>
      </c>
      <c r="J18" s="53">
        <v>1800</v>
      </c>
      <c r="K18" s="26" t="str">
        <f t="shared" si="0"/>
        <v>x</v>
      </c>
      <c r="L18" s="26" t="str">
        <f t="shared" si="0"/>
        <v>x</v>
      </c>
    </row>
    <row r="19" spans="1:49" x14ac:dyDescent="0.2">
      <c r="A19" s="29"/>
      <c r="B19" s="136" t="s">
        <v>0</v>
      </c>
      <c r="C19" s="137"/>
      <c r="D19" s="137"/>
      <c r="E19" s="137"/>
      <c r="F19" s="138"/>
      <c r="G19" s="88">
        <f>SUM(G17:G18)</f>
        <v>499112.34</v>
      </c>
      <c r="H19" s="88">
        <f t="shared" ref="H19:J19" si="1">SUM(H17:H18)</f>
        <v>870223</v>
      </c>
      <c r="I19" s="88">
        <f t="shared" si="1"/>
        <v>870223</v>
      </c>
      <c r="J19" s="88">
        <f t="shared" si="1"/>
        <v>909886.97</v>
      </c>
      <c r="K19" s="26">
        <f t="shared" si="0"/>
        <v>182.30103667643237</v>
      </c>
      <c r="L19" s="26">
        <f t="shared" si="0"/>
        <v>2.0948772518817865E-2</v>
      </c>
    </row>
    <row r="20" spans="1:49" x14ac:dyDescent="0.2">
      <c r="A20" s="29"/>
      <c r="B20" s="148" t="s">
        <v>21</v>
      </c>
      <c r="C20" s="140"/>
      <c r="D20" s="140"/>
      <c r="E20" s="140"/>
      <c r="F20" s="140"/>
      <c r="G20" s="89">
        <v>490855.25</v>
      </c>
      <c r="H20" s="53">
        <v>826844</v>
      </c>
      <c r="I20" s="53">
        <v>826844</v>
      </c>
      <c r="J20" s="53">
        <v>813484.56</v>
      </c>
      <c r="K20" s="26">
        <f t="shared" si="0"/>
        <v>165.72799414898793</v>
      </c>
      <c r="L20" s="26">
        <f t="shared" si="0"/>
        <v>2.0043441586198599E-2</v>
      </c>
    </row>
    <row r="21" spans="1:49" x14ac:dyDescent="0.2">
      <c r="A21" s="29"/>
      <c r="B21" s="142" t="s">
        <v>22</v>
      </c>
      <c r="C21" s="141"/>
      <c r="D21" s="141"/>
      <c r="E21" s="141"/>
      <c r="F21" s="141"/>
      <c r="G21" s="56">
        <v>0</v>
      </c>
      <c r="H21" s="53">
        <v>43379</v>
      </c>
      <c r="I21" s="53">
        <v>43379</v>
      </c>
      <c r="J21" s="53">
        <v>99877.08</v>
      </c>
      <c r="K21" s="26" t="str">
        <f t="shared" si="0"/>
        <v>x</v>
      </c>
      <c r="L21" s="26" t="e">
        <f t="shared" si="0"/>
        <v>#VALUE!</v>
      </c>
      <c r="M21" s="127">
        <f>913361.64-99877.08</f>
        <v>813484.56</v>
      </c>
    </row>
    <row r="22" spans="1:49" x14ac:dyDescent="0.2">
      <c r="A22" s="29"/>
      <c r="B22" s="11" t="s">
        <v>1</v>
      </c>
      <c r="C22" s="12"/>
      <c r="D22" s="12"/>
      <c r="E22" s="12"/>
      <c r="F22" s="12"/>
      <c r="G22" s="88">
        <f>SUM(G20:G21)</f>
        <v>490855.25</v>
      </c>
      <c r="H22" s="88">
        <f>SUM(H20:H21)</f>
        <v>870223</v>
      </c>
      <c r="I22" s="88">
        <f t="shared" ref="I22:J22" si="2">SUM(I20:I21)</f>
        <v>870223</v>
      </c>
      <c r="J22" s="88">
        <f t="shared" si="2"/>
        <v>913361.64</v>
      </c>
      <c r="K22" s="26">
        <f t="shared" si="0"/>
        <v>186.07555689788384</v>
      </c>
      <c r="L22" s="26">
        <f t="shared" si="0"/>
        <v>2.1382514240359522E-2</v>
      </c>
    </row>
    <row r="23" spans="1:49" x14ac:dyDescent="0.2">
      <c r="A23" s="29"/>
      <c r="B23" s="147" t="s">
        <v>2</v>
      </c>
      <c r="C23" s="137"/>
      <c r="D23" s="137"/>
      <c r="E23" s="137"/>
      <c r="F23" s="137"/>
      <c r="G23" s="90">
        <f>G19-G22</f>
        <v>8257.0900000000256</v>
      </c>
      <c r="H23" s="90">
        <f>H19-H22</f>
        <v>0</v>
      </c>
      <c r="I23" s="90">
        <f>I19-I22</f>
        <v>0</v>
      </c>
      <c r="J23" s="90">
        <f t="shared" ref="J23" si="3">J19-J22</f>
        <v>-3474.6700000000419</v>
      </c>
      <c r="K23" s="26">
        <f t="shared" si="0"/>
        <v>-42.081047923663554</v>
      </c>
      <c r="L23" s="26" t="str">
        <f t="shared" si="0"/>
        <v>x</v>
      </c>
    </row>
    <row r="24" spans="1:49" x14ac:dyDescent="0.2">
      <c r="A24" s="29"/>
      <c r="B24" s="31"/>
      <c r="C24" s="32"/>
      <c r="D24" s="32"/>
      <c r="E24" s="32"/>
      <c r="F24" s="32"/>
      <c r="G24" s="34"/>
      <c r="H24" s="34"/>
      <c r="I24" s="34"/>
      <c r="J24" s="34"/>
      <c r="K24" s="29"/>
      <c r="L24" s="1"/>
      <c r="M24" s="1"/>
    </row>
    <row r="25" spans="1:49" ht="18" customHeight="1" x14ac:dyDescent="0.2">
      <c r="A25" s="29"/>
      <c r="B25" s="149" t="s">
        <v>51</v>
      </c>
      <c r="C25" s="149"/>
      <c r="D25" s="149"/>
      <c r="E25" s="149"/>
      <c r="F25" s="149"/>
      <c r="G25" s="34"/>
      <c r="H25" s="34"/>
      <c r="I25" s="34"/>
      <c r="J25" s="34"/>
      <c r="K25" s="29"/>
      <c r="L25" s="1"/>
      <c r="M25" s="1"/>
    </row>
    <row r="26" spans="1:49" ht="25.5" x14ac:dyDescent="0.2">
      <c r="A26" s="29"/>
      <c r="B26" s="143" t="s">
        <v>6</v>
      </c>
      <c r="C26" s="143"/>
      <c r="D26" s="143"/>
      <c r="E26" s="143"/>
      <c r="F26" s="143"/>
      <c r="G26" s="86" t="s">
        <v>283</v>
      </c>
      <c r="H26" s="87" t="s">
        <v>286</v>
      </c>
      <c r="I26" s="87" t="s">
        <v>287</v>
      </c>
      <c r="J26" s="87" t="s">
        <v>288</v>
      </c>
      <c r="K26" s="87" t="s">
        <v>18</v>
      </c>
      <c r="L26" s="2" t="s">
        <v>44</v>
      </c>
    </row>
    <row r="27" spans="1:49" x14ac:dyDescent="0.2">
      <c r="A27" s="29"/>
      <c r="B27" s="153">
        <v>1</v>
      </c>
      <c r="C27" s="154"/>
      <c r="D27" s="154"/>
      <c r="E27" s="154"/>
      <c r="F27" s="154"/>
      <c r="G27" s="91">
        <v>2</v>
      </c>
      <c r="H27" s="87">
        <v>3</v>
      </c>
      <c r="I27" s="87">
        <v>4</v>
      </c>
      <c r="J27" s="87">
        <v>5</v>
      </c>
      <c r="K27" s="87" t="s">
        <v>31</v>
      </c>
      <c r="L27" s="2" t="s">
        <v>32</v>
      </c>
    </row>
    <row r="28" spans="1:49" ht="15.75" customHeight="1" x14ac:dyDescent="0.2">
      <c r="A28" s="29"/>
      <c r="B28" s="139" t="s">
        <v>23</v>
      </c>
      <c r="C28" s="155"/>
      <c r="D28" s="155"/>
      <c r="E28" s="155"/>
      <c r="F28" s="155"/>
      <c r="G28" s="92">
        <v>0</v>
      </c>
      <c r="H28" s="59">
        <v>0</v>
      </c>
      <c r="I28" s="59">
        <v>0</v>
      </c>
      <c r="J28" s="59">
        <v>0</v>
      </c>
      <c r="K28" s="26" t="str">
        <f t="shared" ref="K28:L34" si="4">IF(G28&gt;0,J28/G28*100,"x")</f>
        <v>x</v>
      </c>
      <c r="L28" s="26" t="str">
        <f>IF(H28&gt;0,K28/H28*100,"x")</f>
        <v>x</v>
      </c>
    </row>
    <row r="29" spans="1:49" x14ac:dyDescent="0.2">
      <c r="A29" s="29"/>
      <c r="B29" s="139" t="s">
        <v>24</v>
      </c>
      <c r="C29" s="140"/>
      <c r="D29" s="140"/>
      <c r="E29" s="140"/>
      <c r="F29" s="140"/>
      <c r="G29" s="58">
        <v>0</v>
      </c>
      <c r="H29" s="59">
        <v>0</v>
      </c>
      <c r="I29" s="59">
        <v>0</v>
      </c>
      <c r="J29" s="59">
        <v>0</v>
      </c>
      <c r="K29" s="26" t="str">
        <f t="shared" si="4"/>
        <v>x</v>
      </c>
      <c r="L29" s="26" t="str">
        <f t="shared" si="4"/>
        <v>x</v>
      </c>
    </row>
    <row r="30" spans="1:49" ht="15" customHeight="1" x14ac:dyDescent="0.2">
      <c r="A30" s="29"/>
      <c r="B30" s="150" t="s">
        <v>45</v>
      </c>
      <c r="C30" s="151"/>
      <c r="D30" s="151"/>
      <c r="E30" s="151"/>
      <c r="F30" s="152"/>
      <c r="G30" s="93">
        <f>G28-G29</f>
        <v>0</v>
      </c>
      <c r="H30" s="93">
        <f t="shared" ref="H30:J30" si="5">H28-H29</f>
        <v>0</v>
      </c>
      <c r="I30" s="93">
        <f t="shared" si="5"/>
        <v>0</v>
      </c>
      <c r="J30" s="93">
        <f t="shared" si="5"/>
        <v>0</v>
      </c>
      <c r="K30" s="26" t="str">
        <f t="shared" si="4"/>
        <v>x</v>
      </c>
      <c r="L30" s="26" t="str">
        <f t="shared" si="4"/>
        <v>x</v>
      </c>
    </row>
    <row r="31" spans="1:49" s="76" customFormat="1" ht="15" customHeight="1" x14ac:dyDescent="0.2">
      <c r="A31" s="29"/>
      <c r="B31" s="139" t="s">
        <v>13</v>
      </c>
      <c r="C31" s="140"/>
      <c r="D31" s="140"/>
      <c r="E31" s="140"/>
      <c r="F31" s="140"/>
      <c r="G31" s="58">
        <v>3565.59</v>
      </c>
      <c r="H31" s="59">
        <v>11823</v>
      </c>
      <c r="I31" s="59">
        <v>11823</v>
      </c>
      <c r="J31" s="59">
        <v>11822.68</v>
      </c>
      <c r="K31" s="26">
        <f t="shared" si="4"/>
        <v>331.57710224675299</v>
      </c>
      <c r="L31" s="26">
        <f t="shared" si="4"/>
        <v>2.8045090268692632</v>
      </c>
      <c r="M31" s="27" t="s">
        <v>253</v>
      </c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</row>
    <row r="32" spans="1:49" s="76" customFormat="1" ht="15" customHeight="1" x14ac:dyDescent="0.2">
      <c r="A32" s="29"/>
      <c r="B32" s="139" t="s">
        <v>50</v>
      </c>
      <c r="C32" s="140"/>
      <c r="D32" s="140"/>
      <c r="E32" s="140"/>
      <c r="F32" s="140"/>
      <c r="G32" s="58">
        <v>-11822.68</v>
      </c>
      <c r="H32" s="59">
        <v>-11823</v>
      </c>
      <c r="I32" s="59">
        <v>-11823</v>
      </c>
      <c r="J32" s="125">
        <v>-8348.01</v>
      </c>
      <c r="K32" s="26" t="str">
        <f t="shared" si="4"/>
        <v>x</v>
      </c>
      <c r="L32" s="26" t="str">
        <f t="shared" si="4"/>
        <v>x</v>
      </c>
      <c r="M32" s="27" t="s">
        <v>254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</row>
    <row r="33" spans="1:49" s="78" customFormat="1" x14ac:dyDescent="0.2">
      <c r="A33" s="33"/>
      <c r="B33" s="150" t="s">
        <v>52</v>
      </c>
      <c r="C33" s="151"/>
      <c r="D33" s="151"/>
      <c r="E33" s="151"/>
      <c r="F33" s="152"/>
      <c r="G33" s="93">
        <f>SUM(G31:G32)</f>
        <v>-8257.09</v>
      </c>
      <c r="H33" s="93">
        <f t="shared" ref="H33:I33" si="6">SUM(H31:H32)</f>
        <v>0</v>
      </c>
      <c r="I33" s="93">
        <f t="shared" si="6"/>
        <v>0</v>
      </c>
      <c r="J33" s="93">
        <f>SUM(J31:J32)</f>
        <v>3474.67</v>
      </c>
      <c r="K33" s="26" t="str">
        <f>IF(G33&gt;0,J33/G33*100,"x")</f>
        <v>x</v>
      </c>
      <c r="L33" s="26" t="str">
        <f t="shared" si="4"/>
        <v>x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</row>
    <row r="34" spans="1:49" x14ac:dyDescent="0.2">
      <c r="A34" s="29"/>
      <c r="B34" s="146" t="s">
        <v>53</v>
      </c>
      <c r="C34" s="146"/>
      <c r="D34" s="146"/>
      <c r="E34" s="146"/>
      <c r="F34" s="146"/>
      <c r="G34" s="94">
        <f>G23+G33</f>
        <v>2.5465851649641991E-11</v>
      </c>
      <c r="H34" s="94">
        <f>H23+H33</f>
        <v>0</v>
      </c>
      <c r="I34" s="94">
        <f t="shared" ref="I34" si="7">I23+I33</f>
        <v>0</v>
      </c>
      <c r="J34" s="94">
        <f>J23+J33</f>
        <v>-4.1836756281554699E-11</v>
      </c>
      <c r="K34" s="26">
        <f>IF(G34&gt;0,J34/G34*100,"x")</f>
        <v>-164.28571428571428</v>
      </c>
      <c r="L34" s="26" t="str">
        <f t="shared" si="4"/>
        <v>x</v>
      </c>
    </row>
    <row r="35" spans="1:49" x14ac:dyDescent="0.2">
      <c r="A35" s="29"/>
      <c r="B35" s="29"/>
      <c r="C35" s="29"/>
      <c r="D35" s="29"/>
      <c r="E35" s="29"/>
      <c r="F35" s="29"/>
      <c r="G35" s="82"/>
      <c r="H35" s="82"/>
      <c r="I35" s="82"/>
      <c r="J35" s="82"/>
      <c r="K35" s="82"/>
      <c r="L35" s="82"/>
    </row>
    <row r="36" spans="1:49" x14ac:dyDescent="0.2">
      <c r="A36" s="29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49" ht="14.25" customHeight="1" x14ac:dyDescent="0.2">
      <c r="A37" s="29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1:49" ht="15" customHeight="1" x14ac:dyDescent="0.2">
      <c r="A38" s="29"/>
      <c r="B38" s="126" t="s">
        <v>284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</row>
    <row r="39" spans="1:49" ht="15" customHeight="1" x14ac:dyDescent="0.2">
      <c r="A39" s="29"/>
      <c r="B39" s="126" t="s">
        <v>281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</row>
    <row r="40" spans="1:49" ht="36.75" customHeight="1" x14ac:dyDescent="0.2">
      <c r="A40" s="29"/>
      <c r="B40" s="126" t="s">
        <v>282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</row>
    <row r="41" spans="1:49" ht="15" customHeight="1" x14ac:dyDescent="0.2">
      <c r="A41" s="29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</row>
    <row r="42" spans="1:49" x14ac:dyDescent="0.2">
      <c r="A42" s="29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</row>
    <row r="43" spans="1:49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49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49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49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49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49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</sheetData>
  <mergeCells count="23">
    <mergeCell ref="B33:F33"/>
    <mergeCell ref="B30:F30"/>
    <mergeCell ref="B31:F31"/>
    <mergeCell ref="B32:F32"/>
    <mergeCell ref="B26:F26"/>
    <mergeCell ref="B27:F27"/>
    <mergeCell ref="B28:F28"/>
    <mergeCell ref="B12:L12"/>
    <mergeCell ref="B10:L10"/>
    <mergeCell ref="B8:L8"/>
    <mergeCell ref="B41:L42"/>
    <mergeCell ref="B19:F19"/>
    <mergeCell ref="B29:F29"/>
    <mergeCell ref="B17:F17"/>
    <mergeCell ref="B18:F18"/>
    <mergeCell ref="B15:F15"/>
    <mergeCell ref="B16:F16"/>
    <mergeCell ref="B34:F34"/>
    <mergeCell ref="B21:F21"/>
    <mergeCell ref="B23:F23"/>
    <mergeCell ref="B20:F20"/>
    <mergeCell ref="B14:F14"/>
    <mergeCell ref="B25:F2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6"/>
  <sheetViews>
    <sheetView topLeftCell="E52" zoomScale="90" zoomScaleNormal="90" workbookViewId="0">
      <selection activeCell="J105" sqref="J10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62.85546875" customWidth="1"/>
    <col min="7" max="10" width="25.28515625" customWidth="1"/>
    <col min="11" max="12" width="15.7109375" customWidth="1"/>
    <col min="13" max="13" width="3.7109375" customWidth="1"/>
    <col min="14" max="14" width="17.5703125" customWidth="1"/>
    <col min="15" max="15" width="17.5703125" style="128" customWidth="1"/>
    <col min="16" max="18" width="17.5703125" customWidth="1"/>
  </cols>
  <sheetData>
    <row r="1" spans="1:17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 ht="15.75" customHeight="1" x14ac:dyDescent="0.25">
      <c r="B2" s="134" t="s">
        <v>10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7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7" ht="15.75" customHeight="1" x14ac:dyDescent="0.25">
      <c r="B4" s="134" t="s">
        <v>48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7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1:17" ht="15.75" customHeight="1" x14ac:dyDescent="0.25">
      <c r="B6" s="134" t="s">
        <v>33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7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1:17" ht="45" customHeight="1" x14ac:dyDescent="0.25">
      <c r="A8" s="27"/>
      <c r="B8" s="159" t="s">
        <v>6</v>
      </c>
      <c r="C8" s="160"/>
      <c r="D8" s="160"/>
      <c r="E8" s="160"/>
      <c r="F8" s="161"/>
      <c r="G8" s="20" t="s">
        <v>263</v>
      </c>
      <c r="H8" s="20" t="s">
        <v>286</v>
      </c>
      <c r="I8" s="20" t="s">
        <v>287</v>
      </c>
      <c r="J8" s="20" t="s">
        <v>289</v>
      </c>
      <c r="K8" s="20" t="s">
        <v>18</v>
      </c>
      <c r="L8" s="20" t="s">
        <v>44</v>
      </c>
    </row>
    <row r="9" spans="1:17" x14ac:dyDescent="0.25">
      <c r="A9" s="27"/>
      <c r="B9" s="159">
        <v>1</v>
      </c>
      <c r="C9" s="160"/>
      <c r="D9" s="160"/>
      <c r="E9" s="160"/>
      <c r="F9" s="161"/>
      <c r="G9" s="20">
        <v>2</v>
      </c>
      <c r="H9" s="20">
        <v>3</v>
      </c>
      <c r="I9" s="20">
        <v>4</v>
      </c>
      <c r="J9" s="20">
        <v>5</v>
      </c>
      <c r="K9" s="20" t="s">
        <v>31</v>
      </c>
      <c r="L9" s="20" t="s">
        <v>32</v>
      </c>
    </row>
    <row r="10" spans="1:17" x14ac:dyDescent="0.25">
      <c r="A10" s="27"/>
      <c r="B10" s="108"/>
      <c r="C10" s="108"/>
      <c r="D10" s="108"/>
      <c r="E10" s="108"/>
      <c r="F10" s="108" t="s">
        <v>43</v>
      </c>
      <c r="G10" s="109">
        <f>G11</f>
        <v>499112.33999999997</v>
      </c>
      <c r="H10" s="109">
        <f t="shared" ref="H10:I10" si="0">H11</f>
        <v>870223</v>
      </c>
      <c r="I10" s="109">
        <f t="shared" si="0"/>
        <v>870223</v>
      </c>
      <c r="J10" s="109">
        <f>J11</f>
        <v>909886.97</v>
      </c>
      <c r="K10" s="109">
        <f>J10/G10*100</f>
        <v>182.3010366764324</v>
      </c>
      <c r="L10" s="109">
        <f>J10/I10*100</f>
        <v>104.55790871994878</v>
      </c>
      <c r="N10" s="121">
        <f>G10-SAŽETAK!G19</f>
        <v>0</v>
      </c>
      <c r="O10" s="128">
        <f>H10-SAŽETAK!H19</f>
        <v>0</v>
      </c>
      <c r="P10" s="121">
        <f>I10-SAŽETAK!I19</f>
        <v>0</v>
      </c>
      <c r="Q10" s="121">
        <f>J10-SAŽETAK!J19</f>
        <v>0</v>
      </c>
    </row>
    <row r="11" spans="1:17" x14ac:dyDescent="0.25">
      <c r="A11" s="27"/>
      <c r="B11" s="103">
        <v>6</v>
      </c>
      <c r="C11" s="103"/>
      <c r="D11" s="104"/>
      <c r="E11" s="103"/>
      <c r="F11" s="103" t="s">
        <v>55</v>
      </c>
      <c r="G11" s="105">
        <f>G12+G25+G28+G31+G40+G37+G45</f>
        <v>499112.33999999997</v>
      </c>
      <c r="H11" s="105">
        <f>H12+H25+H28+H31+H40+H37+H45</f>
        <v>870223</v>
      </c>
      <c r="I11" s="105">
        <f>I12+I25+I28+I31+I40+I37+I45</f>
        <v>870223</v>
      </c>
      <c r="J11" s="105">
        <f>J12+J25+J28+J31+J40+J37+J45</f>
        <v>909886.97</v>
      </c>
      <c r="K11" s="105">
        <f t="shared" ref="K11:K45" si="1">J11/G11*100</f>
        <v>182.3010366764324</v>
      </c>
      <c r="L11" s="105">
        <f t="shared" ref="L11:L45" si="2">J11/I11*100</f>
        <v>104.55790871994878</v>
      </c>
    </row>
    <row r="12" spans="1:17" x14ac:dyDescent="0.25">
      <c r="A12" s="27"/>
      <c r="B12" s="103"/>
      <c r="C12" s="103">
        <v>63</v>
      </c>
      <c r="D12" s="104"/>
      <c r="E12" s="103"/>
      <c r="F12" s="103" t="s">
        <v>12</v>
      </c>
      <c r="G12" s="105">
        <f>G13+G16+G19+G21</f>
        <v>87281.11</v>
      </c>
      <c r="H12" s="105">
        <f t="shared" ref="H12:I12" si="3">H13+H16+H19+H21</f>
        <v>216318</v>
      </c>
      <c r="I12" s="105">
        <f t="shared" si="3"/>
        <v>216318</v>
      </c>
      <c r="J12" s="105">
        <f>J13+J16+J19+J21</f>
        <v>250635.75</v>
      </c>
      <c r="K12" s="105">
        <f t="shared" si="1"/>
        <v>287.15921463418601</v>
      </c>
      <c r="L12" s="105">
        <f t="shared" si="2"/>
        <v>115.8644911657837</v>
      </c>
      <c r="N12" s="121"/>
    </row>
    <row r="13" spans="1:17" x14ac:dyDescent="0.25">
      <c r="A13" s="27"/>
      <c r="B13" s="103"/>
      <c r="C13" s="104"/>
      <c r="D13" s="103" t="s">
        <v>56</v>
      </c>
      <c r="E13" s="103"/>
      <c r="F13" s="103" t="s">
        <v>57</v>
      </c>
      <c r="G13" s="105">
        <f>G15+G14</f>
        <v>14254.1</v>
      </c>
      <c r="H13" s="105">
        <f t="shared" ref="H13:I13" si="4">H15+H14</f>
        <v>32379</v>
      </c>
      <c r="I13" s="105">
        <f t="shared" si="4"/>
        <v>32379</v>
      </c>
      <c r="J13" s="105">
        <f>J15+J14</f>
        <v>32378.33</v>
      </c>
      <c r="K13" s="105">
        <f t="shared" si="1"/>
        <v>227.15099515227197</v>
      </c>
      <c r="L13" s="105">
        <f t="shared" si="2"/>
        <v>99.997930757589799</v>
      </c>
    </row>
    <row r="14" spans="1:17" x14ac:dyDescent="0.25">
      <c r="A14" s="27"/>
      <c r="B14" s="9"/>
      <c r="C14" s="37"/>
      <c r="D14" s="9"/>
      <c r="E14" s="9">
        <v>6323</v>
      </c>
      <c r="F14" s="9" t="s">
        <v>255</v>
      </c>
      <c r="G14" s="35">
        <v>14254.1</v>
      </c>
      <c r="H14" s="35">
        <f>+I14</f>
        <v>0</v>
      </c>
      <c r="I14" s="35">
        <v>0</v>
      </c>
      <c r="J14" s="35">
        <v>0</v>
      </c>
      <c r="K14" s="105">
        <f t="shared" si="1"/>
        <v>0</v>
      </c>
      <c r="L14" s="105" t="e">
        <f t="shared" si="2"/>
        <v>#DIV/0!</v>
      </c>
    </row>
    <row r="15" spans="1:17" x14ac:dyDescent="0.25">
      <c r="A15" s="27"/>
      <c r="B15" s="9"/>
      <c r="C15" s="37"/>
      <c r="D15" s="37"/>
      <c r="E15" s="9" t="s">
        <v>58</v>
      </c>
      <c r="F15" s="9" t="s">
        <v>59</v>
      </c>
      <c r="G15" s="35">
        <v>0</v>
      </c>
      <c r="H15" s="35">
        <f>+I15</f>
        <v>32379</v>
      </c>
      <c r="I15" s="35">
        <v>32379</v>
      </c>
      <c r="J15" s="38">
        <v>32378.33</v>
      </c>
      <c r="K15" s="105" t="e">
        <f t="shared" si="1"/>
        <v>#DIV/0!</v>
      </c>
      <c r="L15" s="105">
        <f t="shared" si="2"/>
        <v>99.997930757589799</v>
      </c>
      <c r="N15" s="121"/>
    </row>
    <row r="16" spans="1:17" x14ac:dyDescent="0.25">
      <c r="A16" s="27"/>
      <c r="B16" s="103"/>
      <c r="C16" s="104"/>
      <c r="D16" s="103" t="s">
        <v>60</v>
      </c>
      <c r="E16" s="103"/>
      <c r="F16" s="103" t="s">
        <v>61</v>
      </c>
      <c r="G16" s="105">
        <f>G17+G18</f>
        <v>7767.08</v>
      </c>
      <c r="H16" s="105">
        <f t="shared" ref="H16:I16" si="5">H17+H18</f>
        <v>90606</v>
      </c>
      <c r="I16" s="105">
        <f t="shared" si="5"/>
        <v>90606</v>
      </c>
      <c r="J16" s="105">
        <f>J17+J18</f>
        <v>108117.75</v>
      </c>
      <c r="K16" s="105">
        <f t="shared" si="1"/>
        <v>1391.9999536505352</v>
      </c>
      <c r="L16" s="105">
        <f t="shared" si="2"/>
        <v>119.32736242632937</v>
      </c>
    </row>
    <row r="17" spans="1:14" x14ac:dyDescent="0.25">
      <c r="A17" s="27"/>
      <c r="B17" s="9"/>
      <c r="C17" s="37"/>
      <c r="D17" s="37"/>
      <c r="E17" s="9" t="s">
        <v>62</v>
      </c>
      <c r="F17" s="9" t="s">
        <v>63</v>
      </c>
      <c r="G17" s="35">
        <v>5925.55</v>
      </c>
      <c r="H17" s="35">
        <f>+I17</f>
        <v>90606</v>
      </c>
      <c r="I17" s="35">
        <v>90606</v>
      </c>
      <c r="J17" s="38">
        <v>80129.75</v>
      </c>
      <c r="K17" s="105">
        <f t="shared" si="1"/>
        <v>1352.2753162153724</v>
      </c>
      <c r="L17" s="105">
        <f t="shared" si="2"/>
        <v>88.437575877977181</v>
      </c>
    </row>
    <row r="18" spans="1:14" x14ac:dyDescent="0.25">
      <c r="A18" s="27"/>
      <c r="B18" s="9"/>
      <c r="C18" s="37"/>
      <c r="D18" s="37"/>
      <c r="E18" s="9" t="s">
        <v>64</v>
      </c>
      <c r="F18" s="9" t="s">
        <v>65</v>
      </c>
      <c r="G18" s="35">
        <v>1841.53</v>
      </c>
      <c r="H18" s="35">
        <f>+I18</f>
        <v>0</v>
      </c>
      <c r="I18" s="35">
        <v>0</v>
      </c>
      <c r="J18" s="38">
        <v>27988</v>
      </c>
      <c r="K18" s="105">
        <f t="shared" si="1"/>
        <v>1519.8231904992047</v>
      </c>
      <c r="L18" s="105" t="e">
        <f t="shared" si="2"/>
        <v>#DIV/0!</v>
      </c>
    </row>
    <row r="19" spans="1:14" x14ac:dyDescent="0.25">
      <c r="A19" s="27"/>
      <c r="B19" s="103"/>
      <c r="C19" s="104"/>
      <c r="D19" s="103">
        <v>636</v>
      </c>
      <c r="E19" s="103"/>
      <c r="F19" s="103" t="s">
        <v>264</v>
      </c>
      <c r="G19" s="105">
        <f>+G20</f>
        <v>4900</v>
      </c>
      <c r="H19" s="105">
        <f t="shared" ref="H19:I19" si="6">+H20</f>
        <v>0</v>
      </c>
      <c r="I19" s="105">
        <f t="shared" si="6"/>
        <v>0</v>
      </c>
      <c r="J19" s="105">
        <f>+J20</f>
        <v>10000</v>
      </c>
      <c r="K19" s="105">
        <f t="shared" si="1"/>
        <v>204.08163265306123</v>
      </c>
      <c r="L19" s="105" t="e">
        <f t="shared" si="2"/>
        <v>#DIV/0!</v>
      </c>
    </row>
    <row r="20" spans="1:14" ht="25.5" x14ac:dyDescent="0.25">
      <c r="A20" s="27"/>
      <c r="B20" s="9"/>
      <c r="C20" s="37"/>
      <c r="D20" s="37"/>
      <c r="E20" s="9">
        <v>6361</v>
      </c>
      <c r="F20" s="9" t="s">
        <v>265</v>
      </c>
      <c r="G20" s="35">
        <v>4900</v>
      </c>
      <c r="H20" s="35">
        <f>+I20</f>
        <v>0</v>
      </c>
      <c r="I20" s="35">
        <v>0</v>
      </c>
      <c r="J20" s="38">
        <v>10000</v>
      </c>
      <c r="K20" s="105">
        <f t="shared" si="1"/>
        <v>204.08163265306123</v>
      </c>
      <c r="L20" s="105" t="e">
        <f>J20/I20*100</f>
        <v>#DIV/0!</v>
      </c>
    </row>
    <row r="21" spans="1:14" x14ac:dyDescent="0.25">
      <c r="A21" s="27"/>
      <c r="B21" s="103"/>
      <c r="C21" s="104"/>
      <c r="D21" s="103" t="s">
        <v>66</v>
      </c>
      <c r="E21" s="103"/>
      <c r="F21" s="103" t="s">
        <v>67</v>
      </c>
      <c r="G21" s="105">
        <f>G22+G23+G24</f>
        <v>60359.93</v>
      </c>
      <c r="H21" s="105">
        <f t="shared" ref="H21:I21" si="7">H22+H23+H24</f>
        <v>93333</v>
      </c>
      <c r="I21" s="105">
        <f t="shared" si="7"/>
        <v>93333</v>
      </c>
      <c r="J21" s="105">
        <f>J22+J23+J24</f>
        <v>100139.67</v>
      </c>
      <c r="K21" s="105">
        <f t="shared" si="1"/>
        <v>165.90421824544859</v>
      </c>
      <c r="L21" s="105">
        <f t="shared" si="2"/>
        <v>107.29288676030986</v>
      </c>
      <c r="N21" s="121"/>
    </row>
    <row r="22" spans="1:14" x14ac:dyDescent="0.25">
      <c r="A22" s="27"/>
      <c r="B22" s="9"/>
      <c r="C22" s="37"/>
      <c r="D22" s="37"/>
      <c r="E22" s="9" t="s">
        <v>68</v>
      </c>
      <c r="F22" s="9" t="s">
        <v>69</v>
      </c>
      <c r="G22" s="35">
        <v>36874.93</v>
      </c>
      <c r="H22" s="35">
        <f>+I22</f>
        <v>104</v>
      </c>
      <c r="I22" s="35">
        <v>104</v>
      </c>
      <c r="J22" s="38">
        <v>72932.59</v>
      </c>
      <c r="K22" s="105">
        <f t="shared" si="1"/>
        <v>197.78367036900138</v>
      </c>
      <c r="L22" s="105">
        <f t="shared" si="2"/>
        <v>70127.49038461539</v>
      </c>
    </row>
    <row r="23" spans="1:14" x14ac:dyDescent="0.25">
      <c r="A23" s="27"/>
      <c r="B23" s="9"/>
      <c r="C23" s="37"/>
      <c r="D23" s="37"/>
      <c r="E23" s="9" t="s">
        <v>70</v>
      </c>
      <c r="F23" s="9" t="s">
        <v>71</v>
      </c>
      <c r="G23" s="35">
        <v>0</v>
      </c>
      <c r="H23" s="35">
        <f>+I23</f>
        <v>62025</v>
      </c>
      <c r="I23" s="35">
        <v>62025</v>
      </c>
      <c r="J23" s="38">
        <v>0</v>
      </c>
      <c r="K23" s="105" t="e">
        <f t="shared" si="1"/>
        <v>#DIV/0!</v>
      </c>
      <c r="L23" s="105">
        <f t="shared" si="2"/>
        <v>0</v>
      </c>
    </row>
    <row r="24" spans="1:14" ht="25.5" x14ac:dyDescent="0.25">
      <c r="A24" s="27"/>
      <c r="B24" s="9"/>
      <c r="C24" s="37"/>
      <c r="D24" s="37"/>
      <c r="E24" s="9" t="s">
        <v>256</v>
      </c>
      <c r="F24" s="9" t="s">
        <v>257</v>
      </c>
      <c r="G24" s="35">
        <v>23485</v>
      </c>
      <c r="H24" s="35">
        <f>+I24</f>
        <v>31204</v>
      </c>
      <c r="I24" s="35">
        <f>26582+4622</f>
        <v>31204</v>
      </c>
      <c r="J24" s="38">
        <v>27207.08</v>
      </c>
      <c r="K24" s="105">
        <f t="shared" si="1"/>
        <v>115.84875452416436</v>
      </c>
      <c r="L24" s="105">
        <f t="shared" si="2"/>
        <v>87.191001153698238</v>
      </c>
    </row>
    <row r="25" spans="1:14" x14ac:dyDescent="0.25">
      <c r="A25" s="27"/>
      <c r="B25" s="103"/>
      <c r="C25" s="103" t="s">
        <v>72</v>
      </c>
      <c r="D25" s="104"/>
      <c r="E25" s="103"/>
      <c r="F25" s="103" t="s">
        <v>73</v>
      </c>
      <c r="G25" s="105">
        <f>G26</f>
        <v>0.99</v>
      </c>
      <c r="H25" s="105">
        <f t="shared" ref="H25:I26" si="8">H26</f>
        <v>10</v>
      </c>
      <c r="I25" s="105">
        <f t="shared" si="8"/>
        <v>10</v>
      </c>
      <c r="J25" s="105">
        <f>J26</f>
        <v>6.37</v>
      </c>
      <c r="K25" s="105">
        <f t="shared" si="1"/>
        <v>643.43434343434342</v>
      </c>
      <c r="L25" s="105">
        <f>J25/I25*100</f>
        <v>63.7</v>
      </c>
      <c r="N25" s="121"/>
    </row>
    <row r="26" spans="1:14" x14ac:dyDescent="0.25">
      <c r="A26" s="27"/>
      <c r="B26" s="103"/>
      <c r="C26" s="104"/>
      <c r="D26" s="103" t="s">
        <v>74</v>
      </c>
      <c r="E26" s="103"/>
      <c r="F26" s="103" t="s">
        <v>75</v>
      </c>
      <c r="G26" s="105">
        <f>G27</f>
        <v>0.99</v>
      </c>
      <c r="H26" s="105">
        <f t="shared" si="8"/>
        <v>10</v>
      </c>
      <c r="I26" s="105">
        <f t="shared" si="8"/>
        <v>10</v>
      </c>
      <c r="J26" s="105">
        <f>J27</f>
        <v>6.37</v>
      </c>
      <c r="K26" s="105">
        <f t="shared" si="1"/>
        <v>643.43434343434342</v>
      </c>
      <c r="L26" s="105">
        <f t="shared" si="2"/>
        <v>63.7</v>
      </c>
    </row>
    <row r="27" spans="1:14" x14ac:dyDescent="0.25">
      <c r="A27" s="27"/>
      <c r="B27" s="9"/>
      <c r="C27" s="37"/>
      <c r="D27" s="37"/>
      <c r="E27" s="9" t="s">
        <v>76</v>
      </c>
      <c r="F27" s="9" t="s">
        <v>77</v>
      </c>
      <c r="G27" s="35">
        <v>0.99</v>
      </c>
      <c r="H27" s="35">
        <f>+I27</f>
        <v>10</v>
      </c>
      <c r="I27" s="35">
        <v>10</v>
      </c>
      <c r="J27" s="65">
        <v>6.37</v>
      </c>
      <c r="K27" s="105">
        <f t="shared" si="1"/>
        <v>643.43434343434342</v>
      </c>
      <c r="L27" s="105">
        <f t="shared" si="2"/>
        <v>63.7</v>
      </c>
    </row>
    <row r="28" spans="1:14" ht="25.5" x14ac:dyDescent="0.25">
      <c r="A28" s="27"/>
      <c r="B28" s="103"/>
      <c r="C28" s="103">
        <v>65</v>
      </c>
      <c r="D28" s="104"/>
      <c r="E28" s="103"/>
      <c r="F28" s="103" t="s">
        <v>78</v>
      </c>
      <c r="G28" s="105">
        <f>G29</f>
        <v>3048.18</v>
      </c>
      <c r="H28" s="105">
        <f>H29</f>
        <v>4703</v>
      </c>
      <c r="I28" s="105">
        <f>I29</f>
        <v>4703</v>
      </c>
      <c r="J28" s="105">
        <f>J29</f>
        <v>2271.5</v>
      </c>
      <c r="K28" s="105">
        <f t="shared" si="1"/>
        <v>74.519877435059612</v>
      </c>
      <c r="L28" s="105">
        <f>J28/I28*100</f>
        <v>48.298958111843504</v>
      </c>
      <c r="N28" s="121"/>
    </row>
    <row r="29" spans="1:14" x14ac:dyDescent="0.25">
      <c r="A29" s="27"/>
      <c r="B29" s="103"/>
      <c r="C29" s="104"/>
      <c r="D29" s="103">
        <v>652</v>
      </c>
      <c r="E29" s="103"/>
      <c r="F29" s="103" t="s">
        <v>79</v>
      </c>
      <c r="G29" s="105">
        <f>G30</f>
        <v>3048.18</v>
      </c>
      <c r="H29" s="105">
        <f t="shared" ref="H29:I29" si="9">H30</f>
        <v>4703</v>
      </c>
      <c r="I29" s="105">
        <f t="shared" si="9"/>
        <v>4703</v>
      </c>
      <c r="J29" s="105">
        <f>J30</f>
        <v>2271.5</v>
      </c>
      <c r="K29" s="105">
        <f t="shared" si="1"/>
        <v>74.519877435059612</v>
      </c>
      <c r="L29" s="105">
        <f t="shared" si="2"/>
        <v>48.298958111843504</v>
      </c>
    </row>
    <row r="30" spans="1:14" x14ac:dyDescent="0.25">
      <c r="A30" s="27"/>
      <c r="B30" s="9"/>
      <c r="C30" s="37"/>
      <c r="D30" s="37"/>
      <c r="E30" s="9">
        <v>6526</v>
      </c>
      <c r="F30" s="9" t="s">
        <v>80</v>
      </c>
      <c r="G30" s="35">
        <v>3048.18</v>
      </c>
      <c r="H30" s="35">
        <f>+I30</f>
        <v>4703</v>
      </c>
      <c r="I30" s="35">
        <v>4703</v>
      </c>
      <c r="J30" s="65">
        <v>2271.5</v>
      </c>
      <c r="K30" s="105">
        <f t="shared" si="1"/>
        <v>74.519877435059612</v>
      </c>
      <c r="L30" s="105">
        <f t="shared" si="2"/>
        <v>48.298958111843504</v>
      </c>
    </row>
    <row r="31" spans="1:14" ht="25.5" x14ac:dyDescent="0.25">
      <c r="A31" s="27"/>
      <c r="B31" s="103"/>
      <c r="C31" s="103">
        <v>66</v>
      </c>
      <c r="D31" s="104"/>
      <c r="E31" s="103"/>
      <c r="F31" s="103" t="s">
        <v>81</v>
      </c>
      <c r="G31" s="105">
        <f>G32+G35</f>
        <v>33590.589999999997</v>
      </c>
      <c r="H31" s="105">
        <f>H32+H35</f>
        <v>52931</v>
      </c>
      <c r="I31" s="105">
        <f>I32+I35</f>
        <v>52931</v>
      </c>
      <c r="J31" s="105">
        <f>+J32+J35</f>
        <v>95069.209999999992</v>
      </c>
      <c r="K31" s="105">
        <f t="shared" si="1"/>
        <v>283.02334076299343</v>
      </c>
      <c r="L31" s="105">
        <f>J31/I31*100</f>
        <v>179.6096994199996</v>
      </c>
      <c r="N31" s="121"/>
    </row>
    <row r="32" spans="1:14" x14ac:dyDescent="0.25">
      <c r="A32" s="27"/>
      <c r="B32" s="103"/>
      <c r="C32" s="104"/>
      <c r="D32" s="103" t="s">
        <v>82</v>
      </c>
      <c r="E32" s="103"/>
      <c r="F32" s="103" t="s">
        <v>25</v>
      </c>
      <c r="G32" s="105">
        <f>G33+G34</f>
        <v>33090.589999999997</v>
      </c>
      <c r="H32" s="105">
        <f t="shared" ref="H32:I32" si="10">H33+H34</f>
        <v>47731</v>
      </c>
      <c r="I32" s="105">
        <f t="shared" si="10"/>
        <v>47731</v>
      </c>
      <c r="J32" s="105">
        <f>J33+J34</f>
        <v>35302.21</v>
      </c>
      <c r="K32" s="105">
        <f t="shared" si="1"/>
        <v>106.68353148130632</v>
      </c>
      <c r="L32" s="105">
        <f t="shared" si="2"/>
        <v>73.960759254991515</v>
      </c>
    </row>
    <row r="33" spans="1:14" x14ac:dyDescent="0.25">
      <c r="A33" s="27"/>
      <c r="B33" s="9"/>
      <c r="C33" s="37"/>
      <c r="D33" s="37"/>
      <c r="E33" s="9" t="s">
        <v>83</v>
      </c>
      <c r="F33" s="9" t="s">
        <v>26</v>
      </c>
      <c r="G33" s="35">
        <v>2658.7</v>
      </c>
      <c r="H33" s="35">
        <f>+I33</f>
        <v>4990</v>
      </c>
      <c r="I33" s="35">
        <v>4990</v>
      </c>
      <c r="J33" s="65">
        <v>6057.25</v>
      </c>
      <c r="K33" s="105">
        <f t="shared" si="1"/>
        <v>227.82750968518451</v>
      </c>
      <c r="L33" s="105">
        <f t="shared" si="2"/>
        <v>121.38777555110221</v>
      </c>
    </row>
    <row r="34" spans="1:14" x14ac:dyDescent="0.25">
      <c r="A34" s="27"/>
      <c r="B34" s="9"/>
      <c r="C34" s="37"/>
      <c r="D34" s="37"/>
      <c r="E34" s="9" t="s">
        <v>84</v>
      </c>
      <c r="F34" s="9" t="s">
        <v>85</v>
      </c>
      <c r="G34" s="35">
        <v>30431.89</v>
      </c>
      <c r="H34" s="35">
        <f>+I34</f>
        <v>42741</v>
      </c>
      <c r="I34" s="35">
        <f>31650+11091</f>
        <v>42741</v>
      </c>
      <c r="J34" s="65">
        <v>29244.959999999999</v>
      </c>
      <c r="K34" s="105">
        <f t="shared" si="1"/>
        <v>96.099716448764767</v>
      </c>
      <c r="L34" s="105">
        <f t="shared" si="2"/>
        <v>68.423668140661192</v>
      </c>
    </row>
    <row r="35" spans="1:14" x14ac:dyDescent="0.25">
      <c r="A35" s="27"/>
      <c r="B35" s="9"/>
      <c r="C35" s="104"/>
      <c r="D35" s="103">
        <v>663</v>
      </c>
      <c r="E35" s="103"/>
      <c r="F35" s="103" t="s">
        <v>266</v>
      </c>
      <c r="G35" s="105">
        <f>SUM(G36)</f>
        <v>500</v>
      </c>
      <c r="H35" s="105">
        <f t="shared" ref="H35:I35" si="11">SUM(H36)</f>
        <v>5200</v>
      </c>
      <c r="I35" s="105">
        <f t="shared" si="11"/>
        <v>5200</v>
      </c>
      <c r="J35" s="105">
        <f>SUM(J36)</f>
        <v>59767</v>
      </c>
      <c r="K35" s="105">
        <f t="shared" ref="K35:K37" si="12">J35/G35*100</f>
        <v>11953.400000000001</v>
      </c>
      <c r="L35" s="105">
        <f t="shared" ref="L35:L37" si="13">J35/I35*100</f>
        <v>1149.3653846153845</v>
      </c>
    </row>
    <row r="36" spans="1:14" x14ac:dyDescent="0.25">
      <c r="A36" s="27"/>
      <c r="B36" s="9"/>
      <c r="C36" s="37"/>
      <c r="D36" s="103"/>
      <c r="E36" s="9">
        <v>6631</v>
      </c>
      <c r="F36" s="9" t="s">
        <v>266</v>
      </c>
      <c r="G36" s="35">
        <v>500</v>
      </c>
      <c r="H36" s="35">
        <f>+I36</f>
        <v>5200</v>
      </c>
      <c r="I36" s="35">
        <f>57767-52567</f>
        <v>5200</v>
      </c>
      <c r="J36" s="35">
        <v>59767</v>
      </c>
      <c r="K36" s="105">
        <f t="shared" si="12"/>
        <v>11953.400000000001</v>
      </c>
      <c r="L36" s="105">
        <f t="shared" si="13"/>
        <v>1149.3653846153845</v>
      </c>
      <c r="N36" s="129"/>
    </row>
    <row r="37" spans="1:14" x14ac:dyDescent="0.25">
      <c r="A37" s="27"/>
      <c r="B37" s="103"/>
      <c r="C37" s="106">
        <v>67</v>
      </c>
      <c r="D37" s="104"/>
      <c r="E37" s="103"/>
      <c r="F37" s="103" t="s">
        <v>258</v>
      </c>
      <c r="G37" s="105">
        <f>+G38</f>
        <v>371588.06</v>
      </c>
      <c r="H37" s="105">
        <f t="shared" ref="H37:I37" si="14">+H38</f>
        <v>590000</v>
      </c>
      <c r="I37" s="105">
        <f t="shared" si="14"/>
        <v>590000</v>
      </c>
      <c r="J37" s="105">
        <f>+J38</f>
        <v>556444.47</v>
      </c>
      <c r="K37" s="105">
        <f t="shared" si="12"/>
        <v>149.74767219377284</v>
      </c>
      <c r="L37" s="105">
        <f t="shared" si="13"/>
        <v>94.312622033898293</v>
      </c>
      <c r="N37" s="121"/>
    </row>
    <row r="38" spans="1:14" ht="25.5" x14ac:dyDescent="0.25">
      <c r="A38" s="27"/>
      <c r="B38" s="103"/>
      <c r="C38" s="104"/>
      <c r="D38" s="103" t="s">
        <v>86</v>
      </c>
      <c r="E38" s="103"/>
      <c r="F38" s="103" t="s">
        <v>87</v>
      </c>
      <c r="G38" s="105">
        <f>G39</f>
        <v>371588.06</v>
      </c>
      <c r="H38" s="105">
        <f t="shared" ref="H38:I38" si="15">H39</f>
        <v>590000</v>
      </c>
      <c r="I38" s="105">
        <f t="shared" si="15"/>
        <v>590000</v>
      </c>
      <c r="J38" s="105">
        <f>J39</f>
        <v>556444.47</v>
      </c>
      <c r="K38" s="105">
        <f t="shared" si="1"/>
        <v>149.74767219377284</v>
      </c>
      <c r="L38" s="105">
        <f t="shared" si="2"/>
        <v>94.312622033898293</v>
      </c>
    </row>
    <row r="39" spans="1:14" x14ac:dyDescent="0.25">
      <c r="A39" s="27"/>
      <c r="B39" s="9"/>
      <c r="C39" s="37"/>
      <c r="D39" s="37"/>
      <c r="E39" s="9" t="s">
        <v>88</v>
      </c>
      <c r="F39" s="9" t="s">
        <v>89</v>
      </c>
      <c r="G39" s="35">
        <v>371588.06</v>
      </c>
      <c r="H39" s="35">
        <f>+I39</f>
        <v>590000</v>
      </c>
      <c r="I39" s="35">
        <f>314197+9450+38272+13209+214872</f>
        <v>590000</v>
      </c>
      <c r="J39" s="65">
        <v>556444.47</v>
      </c>
      <c r="K39" s="105">
        <f t="shared" si="1"/>
        <v>149.74767219377284</v>
      </c>
      <c r="L39" s="105">
        <f t="shared" si="2"/>
        <v>94.312622033898293</v>
      </c>
    </row>
    <row r="40" spans="1:14" x14ac:dyDescent="0.25">
      <c r="A40" s="27"/>
      <c r="B40" s="103"/>
      <c r="C40" s="103" t="s">
        <v>90</v>
      </c>
      <c r="D40" s="104"/>
      <c r="E40" s="103"/>
      <c r="F40" s="103" t="s">
        <v>91</v>
      </c>
      <c r="G40" s="105">
        <f>G41+G43</f>
        <v>3603.4100000000003</v>
      </c>
      <c r="H40" s="105">
        <f t="shared" ref="H40" si="16">H41+H43</f>
        <v>4461</v>
      </c>
      <c r="I40" s="105">
        <f>I41+I43</f>
        <v>4461</v>
      </c>
      <c r="J40" s="105">
        <f>J41+J43</f>
        <v>3659.67</v>
      </c>
      <c r="K40" s="105">
        <f t="shared" si="1"/>
        <v>101.56129888078236</v>
      </c>
      <c r="L40" s="105">
        <f>J40/I40*100</f>
        <v>82.03698722259584</v>
      </c>
      <c r="N40" s="121"/>
    </row>
    <row r="41" spans="1:14" x14ac:dyDescent="0.25">
      <c r="A41" s="27"/>
      <c r="B41" s="103"/>
      <c r="C41" s="103"/>
      <c r="D41" s="103">
        <v>681</v>
      </c>
      <c r="E41" s="103"/>
      <c r="F41" s="103" t="s">
        <v>268</v>
      </c>
      <c r="G41" s="105">
        <f>+G42</f>
        <v>400.65</v>
      </c>
      <c r="H41" s="105">
        <f>+H42</f>
        <v>0</v>
      </c>
      <c r="I41" s="105">
        <f>+I42</f>
        <v>0</v>
      </c>
      <c r="J41" s="105">
        <f>+J42</f>
        <v>0</v>
      </c>
      <c r="K41" s="105">
        <f t="shared" si="1"/>
        <v>0</v>
      </c>
      <c r="L41" s="105" t="e">
        <f t="shared" si="2"/>
        <v>#DIV/0!</v>
      </c>
    </row>
    <row r="42" spans="1:14" x14ac:dyDescent="0.25">
      <c r="A42" s="27"/>
      <c r="B42" s="9"/>
      <c r="C42" s="9"/>
      <c r="D42" s="9"/>
      <c r="E42" s="9">
        <v>6819</v>
      </c>
      <c r="F42" s="9" t="s">
        <v>267</v>
      </c>
      <c r="G42" s="35">
        <v>400.65</v>
      </c>
      <c r="H42" s="35">
        <f>+I42</f>
        <v>0</v>
      </c>
      <c r="I42" s="35">
        <v>0</v>
      </c>
      <c r="J42" s="35">
        <v>0</v>
      </c>
      <c r="K42" s="105">
        <f t="shared" si="1"/>
        <v>0</v>
      </c>
      <c r="L42" s="105" t="e">
        <f t="shared" si="2"/>
        <v>#DIV/0!</v>
      </c>
    </row>
    <row r="43" spans="1:14" x14ac:dyDescent="0.25">
      <c r="A43" s="27"/>
      <c r="B43" s="103"/>
      <c r="C43" s="104"/>
      <c r="D43" s="103" t="s">
        <v>92</v>
      </c>
      <c r="E43" s="103"/>
      <c r="F43" s="103" t="s">
        <v>93</v>
      </c>
      <c r="G43" s="105">
        <f>G44</f>
        <v>3202.76</v>
      </c>
      <c r="H43" s="105">
        <f t="shared" ref="H43:I43" si="17">H44</f>
        <v>4461</v>
      </c>
      <c r="I43" s="105">
        <f t="shared" si="17"/>
        <v>4461</v>
      </c>
      <c r="J43" s="105">
        <f>J44</f>
        <v>3659.67</v>
      </c>
      <c r="K43" s="105">
        <f t="shared" si="1"/>
        <v>114.26613296032171</v>
      </c>
      <c r="L43" s="105">
        <f>J43/I43*100</f>
        <v>82.03698722259584</v>
      </c>
    </row>
    <row r="44" spans="1:14" x14ac:dyDescent="0.25">
      <c r="A44" s="27"/>
      <c r="B44" s="9"/>
      <c r="C44" s="37"/>
      <c r="D44" s="37"/>
      <c r="E44" s="9" t="s">
        <v>94</v>
      </c>
      <c r="F44" s="9" t="s">
        <v>93</v>
      </c>
      <c r="G44" s="35">
        <v>3202.76</v>
      </c>
      <c r="H44" s="35">
        <f>+I44</f>
        <v>4461</v>
      </c>
      <c r="I44" s="35">
        <f>4060+401</f>
        <v>4461</v>
      </c>
      <c r="J44" s="65">
        <v>3659.67</v>
      </c>
      <c r="K44" s="105"/>
      <c r="L44" s="105">
        <f t="shared" si="2"/>
        <v>82.03698722259584</v>
      </c>
    </row>
    <row r="45" spans="1:14" x14ac:dyDescent="0.25">
      <c r="A45" s="27"/>
      <c r="B45" s="103"/>
      <c r="C45" s="103">
        <v>72</v>
      </c>
      <c r="D45" s="103">
        <v>723</v>
      </c>
      <c r="E45" s="103">
        <v>7231</v>
      </c>
      <c r="F45" s="103" t="s">
        <v>97</v>
      </c>
      <c r="G45" s="105">
        <v>0</v>
      </c>
      <c r="H45" s="105">
        <v>1800</v>
      </c>
      <c r="I45" s="105">
        <v>1800</v>
      </c>
      <c r="J45" s="107">
        <v>1800</v>
      </c>
      <c r="K45" s="105" t="e">
        <f t="shared" si="1"/>
        <v>#DIV/0!</v>
      </c>
      <c r="L45" s="105">
        <f t="shared" si="2"/>
        <v>100</v>
      </c>
      <c r="N45" s="121"/>
    </row>
    <row r="46" spans="1:14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N46" s="121"/>
    </row>
    <row r="47" spans="1:14" ht="18" x14ac:dyDescent="0.25">
      <c r="A47" s="27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</row>
    <row r="48" spans="1:14" ht="36.75" customHeight="1" x14ac:dyDescent="0.25">
      <c r="B48" s="159" t="s">
        <v>6</v>
      </c>
      <c r="C48" s="160"/>
      <c r="D48" s="160"/>
      <c r="E48" s="160"/>
      <c r="F48" s="161"/>
      <c r="G48" s="20" t="s">
        <v>263</v>
      </c>
      <c r="H48" s="20" t="s">
        <v>286</v>
      </c>
      <c r="I48" s="20" t="s">
        <v>287</v>
      </c>
      <c r="J48" s="20" t="s">
        <v>289</v>
      </c>
      <c r="K48" s="20" t="s">
        <v>18</v>
      </c>
      <c r="L48" s="20" t="s">
        <v>44</v>
      </c>
    </row>
    <row r="49" spans="2:17" x14ac:dyDescent="0.25">
      <c r="B49" s="156">
        <v>1</v>
      </c>
      <c r="C49" s="157"/>
      <c r="D49" s="157"/>
      <c r="E49" s="157"/>
      <c r="F49" s="158"/>
      <c r="G49" s="21">
        <v>2</v>
      </c>
      <c r="H49" s="21">
        <v>3</v>
      </c>
      <c r="I49" s="21">
        <v>4</v>
      </c>
      <c r="J49" s="21">
        <v>5</v>
      </c>
      <c r="K49" s="21" t="s">
        <v>31</v>
      </c>
      <c r="L49" s="21" t="s">
        <v>32</v>
      </c>
    </row>
    <row r="50" spans="2:17" x14ac:dyDescent="0.25">
      <c r="B50" s="103"/>
      <c r="C50" s="103"/>
      <c r="D50" s="103"/>
      <c r="E50" s="103"/>
      <c r="F50" s="108" t="s">
        <v>42</v>
      </c>
      <c r="G50" s="109">
        <f>G51+G96</f>
        <v>490855.24999999994</v>
      </c>
      <c r="H50" s="109">
        <f>H51+H96</f>
        <v>870223</v>
      </c>
      <c r="I50" s="109">
        <f>I51+I96</f>
        <v>870223</v>
      </c>
      <c r="J50" s="109">
        <f>J51+J96</f>
        <v>913361.6399999999</v>
      </c>
      <c r="K50" s="110">
        <f>J50/G50*100</f>
        <v>186.07555689788384</v>
      </c>
      <c r="L50" s="110">
        <f>J50/I50*100</f>
        <v>104.95719373080232</v>
      </c>
      <c r="N50" s="121">
        <f>G50-SAŽETAK!G22</f>
        <v>0</v>
      </c>
      <c r="O50" s="128">
        <f>H50-SAŽETAK!H22</f>
        <v>0</v>
      </c>
      <c r="P50" s="121">
        <f>I50-SAŽETAK!I22</f>
        <v>0</v>
      </c>
      <c r="Q50" s="121">
        <f>J50-SAŽETAK!J22</f>
        <v>0</v>
      </c>
    </row>
    <row r="51" spans="2:17" x14ac:dyDescent="0.25">
      <c r="B51" s="111">
        <v>3</v>
      </c>
      <c r="C51" s="111"/>
      <c r="D51" s="104"/>
      <c r="E51" s="104"/>
      <c r="F51" s="112" t="s">
        <v>3</v>
      </c>
      <c r="G51" s="113">
        <f>G52+G59+G89+G93</f>
        <v>490855.24999999994</v>
      </c>
      <c r="H51" s="113">
        <f>H52+H59+H89+H93</f>
        <v>826844</v>
      </c>
      <c r="I51" s="113">
        <f>I52+I59+I89+I93</f>
        <v>826844</v>
      </c>
      <c r="J51" s="113">
        <f>J52+J59+J89+J93</f>
        <v>813484.55999999994</v>
      </c>
      <c r="K51" s="114">
        <f t="shared" ref="K51:K111" si="18">J51/G51*100</f>
        <v>165.7279941489879</v>
      </c>
      <c r="L51" s="114">
        <f t="shared" ref="L51:L111" si="19">J51/I51*100</f>
        <v>98.38428530653907</v>
      </c>
      <c r="N51" s="121"/>
    </row>
    <row r="52" spans="2:17" x14ac:dyDescent="0.25">
      <c r="B52" s="115"/>
      <c r="C52" s="116">
        <v>31</v>
      </c>
      <c r="D52" s="104"/>
      <c r="E52" s="104"/>
      <c r="F52" s="112" t="s">
        <v>4</v>
      </c>
      <c r="G52" s="113">
        <f>G53+G55+G57</f>
        <v>280591.37</v>
      </c>
      <c r="H52" s="113">
        <f>H53+H55+H57</f>
        <v>450741</v>
      </c>
      <c r="I52" s="113">
        <f t="shared" ref="I52:J52" si="20">I53+I55+I57</f>
        <v>450741</v>
      </c>
      <c r="J52" s="113">
        <f t="shared" si="20"/>
        <v>424395.62</v>
      </c>
      <c r="K52" s="114">
        <f t="shared" si="18"/>
        <v>151.25041800109534</v>
      </c>
      <c r="L52" s="114">
        <f t="shared" si="19"/>
        <v>94.15509572015857</v>
      </c>
      <c r="N52" s="121"/>
    </row>
    <row r="53" spans="2:17" x14ac:dyDescent="0.25">
      <c r="B53" s="115"/>
      <c r="C53" s="104"/>
      <c r="D53" s="116">
        <v>311</v>
      </c>
      <c r="E53" s="103"/>
      <c r="F53" s="115" t="s">
        <v>27</v>
      </c>
      <c r="G53" s="117">
        <f>G54</f>
        <v>232549.76000000001</v>
      </c>
      <c r="H53" s="117">
        <f t="shared" ref="H53:J53" si="21">H54</f>
        <v>367745</v>
      </c>
      <c r="I53" s="117">
        <f t="shared" si="21"/>
        <v>367745</v>
      </c>
      <c r="J53" s="117">
        <f t="shared" si="21"/>
        <v>346351.54</v>
      </c>
      <c r="K53" s="114">
        <f t="shared" si="18"/>
        <v>148.93652868100142</v>
      </c>
      <c r="L53" s="114">
        <f t="shared" si="19"/>
        <v>94.182528654366465</v>
      </c>
      <c r="N53" s="121"/>
    </row>
    <row r="54" spans="2:17" x14ac:dyDescent="0.25">
      <c r="B54" s="54"/>
      <c r="C54" s="37"/>
      <c r="D54" s="37"/>
      <c r="E54" s="55">
        <v>3111</v>
      </c>
      <c r="F54" s="54" t="s">
        <v>28</v>
      </c>
      <c r="G54" s="48">
        <v>232549.76000000001</v>
      </c>
      <c r="H54" s="48">
        <f>+I54</f>
        <v>367745</v>
      </c>
      <c r="I54" s="48">
        <f>342745+25000</f>
        <v>367745</v>
      </c>
      <c r="J54" s="48">
        <v>346351.54</v>
      </c>
      <c r="K54" s="114">
        <f t="shared" si="18"/>
        <v>148.93652868100142</v>
      </c>
      <c r="L54" s="114">
        <f t="shared" si="19"/>
        <v>94.182528654366465</v>
      </c>
      <c r="N54" s="121"/>
    </row>
    <row r="55" spans="2:17" x14ac:dyDescent="0.25">
      <c r="B55" s="115"/>
      <c r="C55" s="104"/>
      <c r="D55" s="116" t="s">
        <v>151</v>
      </c>
      <c r="E55" s="103"/>
      <c r="F55" s="115" t="s">
        <v>152</v>
      </c>
      <c r="G55" s="117">
        <f>G56</f>
        <v>9670.84</v>
      </c>
      <c r="H55" s="117">
        <f t="shared" ref="H55:J55" si="22">H56</f>
        <v>21741</v>
      </c>
      <c r="I55" s="117">
        <f t="shared" si="22"/>
        <v>21741</v>
      </c>
      <c r="J55" s="117">
        <f t="shared" si="22"/>
        <v>20872.560000000001</v>
      </c>
      <c r="K55" s="114">
        <f t="shared" si="18"/>
        <v>215.82985552444259</v>
      </c>
      <c r="L55" s="114">
        <f t="shared" si="19"/>
        <v>96.005519525320821</v>
      </c>
      <c r="N55" s="121"/>
    </row>
    <row r="56" spans="2:17" x14ac:dyDescent="0.25">
      <c r="B56" s="54"/>
      <c r="C56" s="37"/>
      <c r="D56" s="37"/>
      <c r="E56" s="55" t="s">
        <v>153</v>
      </c>
      <c r="F56" s="54" t="s">
        <v>152</v>
      </c>
      <c r="G56" s="48">
        <v>9670.84</v>
      </c>
      <c r="H56" s="48">
        <f>+I56</f>
        <v>21741</v>
      </c>
      <c r="I56" s="48">
        <f>12000+9741</f>
        <v>21741</v>
      </c>
      <c r="J56" s="48">
        <v>20872.560000000001</v>
      </c>
      <c r="K56" s="114">
        <f t="shared" si="18"/>
        <v>215.82985552444259</v>
      </c>
      <c r="L56" s="114">
        <f t="shared" si="19"/>
        <v>96.005519525320821</v>
      </c>
      <c r="N56" s="121"/>
    </row>
    <row r="57" spans="2:17" x14ac:dyDescent="0.25">
      <c r="B57" s="115"/>
      <c r="C57" s="104"/>
      <c r="D57" s="116">
        <v>313</v>
      </c>
      <c r="E57" s="103"/>
      <c r="F57" s="115" t="s">
        <v>154</v>
      </c>
      <c r="G57" s="118">
        <f>G58</f>
        <v>38370.769999999997</v>
      </c>
      <c r="H57" s="118">
        <f t="shared" ref="H57:J57" si="23">H58</f>
        <v>61255</v>
      </c>
      <c r="I57" s="118">
        <f t="shared" si="23"/>
        <v>61255</v>
      </c>
      <c r="J57" s="118">
        <f t="shared" si="23"/>
        <v>57171.519999999997</v>
      </c>
      <c r="K57" s="114">
        <f t="shared" si="18"/>
        <v>148.9975833166757</v>
      </c>
      <c r="L57" s="114">
        <f t="shared" si="19"/>
        <v>93.333638070361602</v>
      </c>
      <c r="N57" s="121"/>
    </row>
    <row r="58" spans="2:17" x14ac:dyDescent="0.25">
      <c r="B58" s="54"/>
      <c r="C58" s="37"/>
      <c r="D58" s="37"/>
      <c r="E58" s="55">
        <v>3132</v>
      </c>
      <c r="F58" s="54" t="s">
        <v>155</v>
      </c>
      <c r="G58" s="56">
        <v>38370.769999999997</v>
      </c>
      <c r="H58" s="56">
        <f>+I58</f>
        <v>61255</v>
      </c>
      <c r="I58" s="56">
        <f>57255+4000</f>
        <v>61255</v>
      </c>
      <c r="J58" s="56">
        <v>57171.519999999997</v>
      </c>
      <c r="K58" s="114">
        <f t="shared" si="18"/>
        <v>148.9975833166757</v>
      </c>
      <c r="L58" s="114">
        <f t="shared" si="19"/>
        <v>93.333638070361602</v>
      </c>
      <c r="N58" s="121"/>
    </row>
    <row r="59" spans="2:17" x14ac:dyDescent="0.25">
      <c r="B59" s="115"/>
      <c r="C59" s="116">
        <v>32</v>
      </c>
      <c r="D59" s="104"/>
      <c r="E59" s="103"/>
      <c r="F59" s="112" t="s">
        <v>11</v>
      </c>
      <c r="G59" s="117">
        <f>G60+G64+G71+G81+G83</f>
        <v>208001.22</v>
      </c>
      <c r="H59" s="117">
        <f t="shared" ref="H59:J59" si="24">H60+H64+H71+H81+H83</f>
        <v>373895</v>
      </c>
      <c r="I59" s="117">
        <f t="shared" si="24"/>
        <v>373895</v>
      </c>
      <c r="J59" s="117">
        <f t="shared" si="24"/>
        <v>386815.58</v>
      </c>
      <c r="K59" s="114">
        <f t="shared" si="18"/>
        <v>185.96793807267093</v>
      </c>
      <c r="L59" s="114">
        <f t="shared" si="19"/>
        <v>103.45567070969123</v>
      </c>
      <c r="N59" s="121"/>
    </row>
    <row r="60" spans="2:17" x14ac:dyDescent="0.25">
      <c r="B60" s="115"/>
      <c r="C60" s="104"/>
      <c r="D60" s="116">
        <v>321</v>
      </c>
      <c r="E60" s="103"/>
      <c r="F60" s="115" t="s">
        <v>29</v>
      </c>
      <c r="G60" s="117">
        <f>G61+G62+G63</f>
        <v>15861.71</v>
      </c>
      <c r="H60" s="117">
        <f>H61+H62+H63</f>
        <v>24000</v>
      </c>
      <c r="I60" s="117">
        <f>I61+I62+I63</f>
        <v>24000</v>
      </c>
      <c r="J60" s="117">
        <f>J61+J62+J63</f>
        <v>19256.52</v>
      </c>
      <c r="K60" s="114">
        <f t="shared" si="18"/>
        <v>121.40254739243122</v>
      </c>
      <c r="L60" s="114">
        <f t="shared" si="19"/>
        <v>80.235500000000002</v>
      </c>
      <c r="N60" s="121"/>
    </row>
    <row r="61" spans="2:17" x14ac:dyDescent="0.25">
      <c r="B61" s="54"/>
      <c r="C61" s="37"/>
      <c r="D61" s="37"/>
      <c r="E61" s="55" t="s">
        <v>156</v>
      </c>
      <c r="F61" s="54" t="s">
        <v>30</v>
      </c>
      <c r="G61" s="48">
        <v>1371</v>
      </c>
      <c r="H61" s="48">
        <f>+I61</f>
        <v>3000</v>
      </c>
      <c r="I61" s="48">
        <v>3000</v>
      </c>
      <c r="J61" s="48">
        <v>3000</v>
      </c>
      <c r="K61" s="114">
        <f t="shared" si="18"/>
        <v>218.81838074398249</v>
      </c>
      <c r="L61" s="114">
        <f t="shared" si="19"/>
        <v>100</v>
      </c>
      <c r="N61" s="121"/>
    </row>
    <row r="62" spans="2:17" x14ac:dyDescent="0.25">
      <c r="B62" s="54"/>
      <c r="C62" s="37"/>
      <c r="D62" s="37"/>
      <c r="E62" s="55" t="s">
        <v>157</v>
      </c>
      <c r="F62" s="57" t="s">
        <v>158</v>
      </c>
      <c r="G62" s="48">
        <v>14225.71</v>
      </c>
      <c r="H62" s="48">
        <f t="shared" ref="H62:H63" si="25">+I62</f>
        <v>20000</v>
      </c>
      <c r="I62" s="48">
        <v>20000</v>
      </c>
      <c r="J62" s="48">
        <v>15256.52</v>
      </c>
      <c r="K62" s="114">
        <f t="shared" si="18"/>
        <v>107.24610581826848</v>
      </c>
      <c r="L62" s="114">
        <f t="shared" si="19"/>
        <v>76.282600000000002</v>
      </c>
      <c r="N62" s="121"/>
    </row>
    <row r="63" spans="2:17" x14ac:dyDescent="0.25">
      <c r="B63" s="54"/>
      <c r="C63" s="37"/>
      <c r="D63" s="37"/>
      <c r="E63" s="55" t="s">
        <v>159</v>
      </c>
      <c r="F63" s="57" t="s">
        <v>160</v>
      </c>
      <c r="G63" s="48">
        <v>265</v>
      </c>
      <c r="H63" s="48">
        <f t="shared" si="25"/>
        <v>1000</v>
      </c>
      <c r="I63" s="48">
        <v>1000</v>
      </c>
      <c r="J63" s="48">
        <v>1000</v>
      </c>
      <c r="K63" s="114">
        <f t="shared" si="18"/>
        <v>377.35849056603774</v>
      </c>
      <c r="L63" s="114">
        <f t="shared" si="19"/>
        <v>100</v>
      </c>
      <c r="N63" s="121"/>
    </row>
    <row r="64" spans="2:17" x14ac:dyDescent="0.25">
      <c r="B64" s="115"/>
      <c r="C64" s="104"/>
      <c r="D64" s="116">
        <v>322</v>
      </c>
      <c r="E64" s="103"/>
      <c r="F64" s="115" t="s">
        <v>161</v>
      </c>
      <c r="G64" s="119">
        <f>G65+G66+G67+G68+G69+G70</f>
        <v>74123.789999999994</v>
      </c>
      <c r="H64" s="119">
        <f t="shared" ref="H64:J64" si="26">H65+H66+H67+H68+H69+H70</f>
        <v>66922</v>
      </c>
      <c r="I64" s="119">
        <f t="shared" si="26"/>
        <v>66922</v>
      </c>
      <c r="J64" s="119">
        <f t="shared" si="26"/>
        <v>123220.54</v>
      </c>
      <c r="K64" s="114">
        <f t="shared" si="18"/>
        <v>166.23615710961352</v>
      </c>
      <c r="L64" s="114">
        <f>J64/I64*100</f>
        <v>184.12560891784463</v>
      </c>
      <c r="N64" s="121"/>
    </row>
    <row r="65" spans="2:14" x14ac:dyDescent="0.25">
      <c r="B65" s="54"/>
      <c r="C65" s="37"/>
      <c r="D65" s="37"/>
      <c r="E65" s="55" t="s">
        <v>162</v>
      </c>
      <c r="F65" s="54" t="s">
        <v>163</v>
      </c>
      <c r="G65" s="58">
        <v>32322.959999999999</v>
      </c>
      <c r="H65" s="58">
        <f>+I65</f>
        <v>9922</v>
      </c>
      <c r="I65" s="58">
        <f>4300+1000+4622</f>
        <v>9922</v>
      </c>
      <c r="J65" s="58">
        <v>74420.539999999994</v>
      </c>
      <c r="K65" s="114">
        <f t="shared" si="18"/>
        <v>230.2404854010895</v>
      </c>
      <c r="L65" s="114">
        <f t="shared" si="19"/>
        <v>750.05583551703273</v>
      </c>
      <c r="N65" s="121"/>
    </row>
    <row r="66" spans="2:14" x14ac:dyDescent="0.25">
      <c r="B66" s="54"/>
      <c r="C66" s="37"/>
      <c r="D66" s="37"/>
      <c r="E66" s="55" t="s">
        <v>164</v>
      </c>
      <c r="F66" s="54" t="s">
        <v>165</v>
      </c>
      <c r="G66" s="58">
        <v>0</v>
      </c>
      <c r="H66" s="58">
        <f t="shared" ref="H66:H70" si="27">+I66</f>
        <v>0</v>
      </c>
      <c r="I66" s="58">
        <v>0</v>
      </c>
      <c r="J66" s="58">
        <v>0</v>
      </c>
      <c r="K66" s="114" t="e">
        <f t="shared" si="18"/>
        <v>#DIV/0!</v>
      </c>
      <c r="L66" s="114" t="e">
        <f t="shared" si="19"/>
        <v>#DIV/0!</v>
      </c>
      <c r="N66" s="121"/>
    </row>
    <row r="67" spans="2:14" x14ac:dyDescent="0.25">
      <c r="B67" s="54"/>
      <c r="C67" s="37"/>
      <c r="D67" s="37"/>
      <c r="E67" s="55" t="s">
        <v>166</v>
      </c>
      <c r="F67" s="54" t="s">
        <v>167</v>
      </c>
      <c r="G67" s="58">
        <v>32252.04</v>
      </c>
      <c r="H67" s="58">
        <f t="shared" si="27"/>
        <v>34000</v>
      </c>
      <c r="I67" s="58">
        <v>34000</v>
      </c>
      <c r="J67" s="58">
        <v>34000</v>
      </c>
      <c r="K67" s="114">
        <f t="shared" si="18"/>
        <v>105.41968818096467</v>
      </c>
      <c r="L67" s="114">
        <f t="shared" si="19"/>
        <v>100</v>
      </c>
      <c r="N67" s="121"/>
    </row>
    <row r="68" spans="2:14" x14ac:dyDescent="0.25">
      <c r="B68" s="54"/>
      <c r="C68" s="37"/>
      <c r="D68" s="37"/>
      <c r="E68" s="55" t="s">
        <v>168</v>
      </c>
      <c r="F68" s="57" t="s">
        <v>169</v>
      </c>
      <c r="G68" s="58">
        <v>6261.93</v>
      </c>
      <c r="H68" s="58">
        <f t="shared" si="27"/>
        <v>5000</v>
      </c>
      <c r="I68" s="58">
        <v>5000</v>
      </c>
      <c r="J68" s="58">
        <v>5000</v>
      </c>
      <c r="K68" s="114">
        <f t="shared" si="18"/>
        <v>79.847586926075508</v>
      </c>
      <c r="L68" s="114">
        <f t="shared" si="19"/>
        <v>100</v>
      </c>
      <c r="N68" s="121"/>
    </row>
    <row r="69" spans="2:14" x14ac:dyDescent="0.25">
      <c r="B69" s="54"/>
      <c r="C69" s="37"/>
      <c r="D69" s="37"/>
      <c r="E69" s="55" t="s">
        <v>170</v>
      </c>
      <c r="F69" s="57" t="s">
        <v>171</v>
      </c>
      <c r="G69" s="58">
        <v>2164</v>
      </c>
      <c r="H69" s="58">
        <f t="shared" si="27"/>
        <v>15000</v>
      </c>
      <c r="I69" s="58">
        <f>5000+10000</f>
        <v>15000</v>
      </c>
      <c r="J69" s="58">
        <v>6800</v>
      </c>
      <c r="K69" s="114">
        <f t="shared" si="18"/>
        <v>314.23290203327167</v>
      </c>
      <c r="L69" s="114">
        <f t="shared" si="19"/>
        <v>45.333333333333329</v>
      </c>
      <c r="N69" s="121"/>
    </row>
    <row r="70" spans="2:14" x14ac:dyDescent="0.25">
      <c r="B70" s="54"/>
      <c r="C70" s="37"/>
      <c r="D70" s="37"/>
      <c r="E70" s="55" t="s">
        <v>172</v>
      </c>
      <c r="F70" s="57" t="s">
        <v>173</v>
      </c>
      <c r="G70" s="58">
        <v>1122.8599999999999</v>
      </c>
      <c r="H70" s="58">
        <f t="shared" si="27"/>
        <v>3000</v>
      </c>
      <c r="I70" s="58">
        <v>3000</v>
      </c>
      <c r="J70" s="58">
        <v>3000</v>
      </c>
      <c r="K70" s="114">
        <f t="shared" si="18"/>
        <v>267.17489268475146</v>
      </c>
      <c r="L70" s="114">
        <f t="shared" si="19"/>
        <v>100</v>
      </c>
      <c r="N70" s="121"/>
    </row>
    <row r="71" spans="2:14" x14ac:dyDescent="0.25">
      <c r="B71" s="115"/>
      <c r="C71" s="104"/>
      <c r="D71" s="116">
        <v>323</v>
      </c>
      <c r="E71" s="103"/>
      <c r="F71" s="115" t="s">
        <v>174</v>
      </c>
      <c r="G71" s="119">
        <f>G72+G73+G74+G75+G76+G77+G78+G79+G80</f>
        <v>103775.05</v>
      </c>
      <c r="H71" s="119">
        <f t="shared" ref="H71:I71" si="28">H72+H73+H74+H75+H76+H77+H78+H79+H80</f>
        <v>264273</v>
      </c>
      <c r="I71" s="119">
        <f t="shared" si="28"/>
        <v>264273</v>
      </c>
      <c r="J71" s="119">
        <f>J72+J73+J74+J75+J76+J77+J78+J79+J80</f>
        <v>228638.52000000002</v>
      </c>
      <c r="K71" s="114">
        <f t="shared" si="18"/>
        <v>220.32128146408988</v>
      </c>
      <c r="L71" s="114">
        <f t="shared" si="19"/>
        <v>86.516034555175906</v>
      </c>
      <c r="N71" s="121"/>
    </row>
    <row r="72" spans="2:14" x14ac:dyDescent="0.25">
      <c r="B72" s="54"/>
      <c r="C72" s="37"/>
      <c r="D72" s="37"/>
      <c r="E72" s="55" t="s">
        <v>175</v>
      </c>
      <c r="F72" s="54" t="s">
        <v>176</v>
      </c>
      <c r="G72" s="48">
        <v>11751.25</v>
      </c>
      <c r="H72" s="48">
        <f>+I72</f>
        <v>7000</v>
      </c>
      <c r="I72" s="48">
        <v>7000</v>
      </c>
      <c r="J72" s="48">
        <v>7000</v>
      </c>
      <c r="K72" s="114">
        <f t="shared" si="18"/>
        <v>59.568131049888308</v>
      </c>
      <c r="L72" s="114">
        <f>J72/I72*100</f>
        <v>100</v>
      </c>
      <c r="N72" s="121"/>
    </row>
    <row r="73" spans="2:14" x14ac:dyDescent="0.25">
      <c r="B73" s="54"/>
      <c r="C73" s="37"/>
      <c r="D73" s="37"/>
      <c r="E73" s="55" t="s">
        <v>177</v>
      </c>
      <c r="F73" s="54" t="s">
        <v>178</v>
      </c>
      <c r="G73" s="48">
        <v>45135.43</v>
      </c>
      <c r="H73" s="48">
        <f t="shared" ref="H73:H80" si="29">+I73</f>
        <v>165251</v>
      </c>
      <c r="I73" s="48">
        <f>19000+17000+2500+126751</f>
        <v>165251</v>
      </c>
      <c r="J73" s="48">
        <v>142239.5</v>
      </c>
      <c r="K73" s="114">
        <f t="shared" si="18"/>
        <v>315.13934840102331</v>
      </c>
      <c r="L73" s="114">
        <f t="shared" si="19"/>
        <v>86.074819516977215</v>
      </c>
      <c r="N73" s="121"/>
    </row>
    <row r="74" spans="2:14" x14ac:dyDescent="0.25">
      <c r="B74" s="54"/>
      <c r="C74" s="37"/>
      <c r="D74" s="37"/>
      <c r="E74" s="55">
        <v>3233</v>
      </c>
      <c r="F74" s="54" t="s">
        <v>179</v>
      </c>
      <c r="G74" s="48">
        <v>7752.54</v>
      </c>
      <c r="H74" s="48">
        <f t="shared" si="29"/>
        <v>24462</v>
      </c>
      <c r="I74" s="48">
        <f>5000+5000+14462</f>
        <v>24462</v>
      </c>
      <c r="J74" s="48">
        <v>10114.35</v>
      </c>
      <c r="K74" s="114">
        <f t="shared" si="18"/>
        <v>130.46498308941327</v>
      </c>
      <c r="L74" s="114">
        <f t="shared" si="19"/>
        <v>41.347191562423355</v>
      </c>
      <c r="N74" s="121"/>
    </row>
    <row r="75" spans="2:14" x14ac:dyDescent="0.25">
      <c r="B75" s="54"/>
      <c r="C75" s="37"/>
      <c r="D75" s="37"/>
      <c r="E75" s="55" t="s">
        <v>180</v>
      </c>
      <c r="F75" s="54" t="s">
        <v>181</v>
      </c>
      <c r="G75" s="48">
        <v>1827</v>
      </c>
      <c r="H75" s="48">
        <f t="shared" si="29"/>
        <v>22000</v>
      </c>
      <c r="I75" s="48">
        <f>2000+20000</f>
        <v>22000</v>
      </c>
      <c r="J75" s="48">
        <v>2000</v>
      </c>
      <c r="K75" s="114">
        <f t="shared" si="18"/>
        <v>109.46907498631637</v>
      </c>
      <c r="L75" s="114">
        <f t="shared" si="19"/>
        <v>9.0909090909090917</v>
      </c>
      <c r="N75" s="121"/>
    </row>
    <row r="76" spans="2:14" x14ac:dyDescent="0.25">
      <c r="B76" s="54"/>
      <c r="C76" s="37"/>
      <c r="D76" s="37"/>
      <c r="E76" s="55">
        <v>3235</v>
      </c>
      <c r="F76" s="54" t="s">
        <v>182</v>
      </c>
      <c r="G76" s="48">
        <v>5594.41</v>
      </c>
      <c r="H76" s="48">
        <f t="shared" si="29"/>
        <v>5060</v>
      </c>
      <c r="I76" s="48">
        <f>1000+4060</f>
        <v>5060</v>
      </c>
      <c r="J76" s="48">
        <v>4659.67</v>
      </c>
      <c r="K76" s="114">
        <f t="shared" si="18"/>
        <v>83.291535657915674</v>
      </c>
      <c r="L76" s="114">
        <f t="shared" si="19"/>
        <v>92.088339920948613</v>
      </c>
      <c r="N76" s="121"/>
    </row>
    <row r="77" spans="2:14" x14ac:dyDescent="0.25">
      <c r="B77" s="54"/>
      <c r="C77" s="37"/>
      <c r="D77" s="37"/>
      <c r="E77" s="55">
        <v>3236</v>
      </c>
      <c r="F77" s="54" t="s">
        <v>183</v>
      </c>
      <c r="G77" s="48">
        <v>3318</v>
      </c>
      <c r="H77" s="48">
        <f t="shared" si="29"/>
        <v>0</v>
      </c>
      <c r="I77" s="48">
        <v>0</v>
      </c>
      <c r="J77" s="48">
        <v>0</v>
      </c>
      <c r="K77" s="114">
        <f t="shared" si="18"/>
        <v>0</v>
      </c>
      <c r="L77" s="114" t="e">
        <f t="shared" si="19"/>
        <v>#DIV/0!</v>
      </c>
      <c r="N77" s="121"/>
    </row>
    <row r="78" spans="2:14" x14ac:dyDescent="0.25">
      <c r="B78" s="54"/>
      <c r="C78" s="37"/>
      <c r="D78" s="37"/>
      <c r="E78" s="55">
        <v>3237</v>
      </c>
      <c r="F78" s="54" t="s">
        <v>184</v>
      </c>
      <c r="G78" s="48">
        <v>16759.63</v>
      </c>
      <c r="H78" s="48">
        <f t="shared" si="29"/>
        <v>10500</v>
      </c>
      <c r="I78" s="48">
        <f>1000+3000+2500+4000</f>
        <v>10500</v>
      </c>
      <c r="J78" s="48">
        <v>32625</v>
      </c>
      <c r="K78" s="114">
        <f t="shared" si="18"/>
        <v>194.66420201400626</v>
      </c>
      <c r="L78" s="114">
        <f t="shared" si="19"/>
        <v>310.71428571428572</v>
      </c>
      <c r="N78" s="121"/>
    </row>
    <row r="79" spans="2:14" x14ac:dyDescent="0.25">
      <c r="B79" s="54"/>
      <c r="C79" s="37"/>
      <c r="D79" s="37"/>
      <c r="E79" s="55" t="s">
        <v>185</v>
      </c>
      <c r="F79" s="54" t="s">
        <v>186</v>
      </c>
      <c r="G79" s="48">
        <v>9645</v>
      </c>
      <c r="H79" s="48">
        <f t="shared" si="29"/>
        <v>10000</v>
      </c>
      <c r="I79" s="48">
        <v>10000</v>
      </c>
      <c r="J79" s="48">
        <v>10000</v>
      </c>
      <c r="K79" s="114">
        <f t="shared" si="18"/>
        <v>103.68066355624677</v>
      </c>
      <c r="L79" s="114">
        <f t="shared" si="19"/>
        <v>100</v>
      </c>
      <c r="N79" s="121"/>
    </row>
    <row r="80" spans="2:14" x14ac:dyDescent="0.25">
      <c r="B80" s="54"/>
      <c r="C80" s="37"/>
      <c r="D80" s="37"/>
      <c r="E80" s="55" t="s">
        <v>187</v>
      </c>
      <c r="F80" s="54" t="s">
        <v>188</v>
      </c>
      <c r="G80" s="48">
        <v>1991.79</v>
      </c>
      <c r="H80" s="48">
        <f t="shared" si="29"/>
        <v>20000</v>
      </c>
      <c r="I80" s="48">
        <v>20000</v>
      </c>
      <c r="J80" s="48">
        <v>20000</v>
      </c>
      <c r="K80" s="114">
        <f t="shared" si="18"/>
        <v>1004.1219204835851</v>
      </c>
      <c r="L80" s="114">
        <f t="shared" si="19"/>
        <v>100</v>
      </c>
      <c r="N80" s="121"/>
    </row>
    <row r="81" spans="2:14" x14ac:dyDescent="0.25">
      <c r="B81" s="115"/>
      <c r="C81" s="104"/>
      <c r="D81" s="116">
        <v>324</v>
      </c>
      <c r="E81" s="103"/>
      <c r="F81" s="115" t="s">
        <v>204</v>
      </c>
      <c r="G81" s="117">
        <f>G82</f>
        <v>0</v>
      </c>
      <c r="H81" s="117">
        <f t="shared" ref="H81:J81" si="30">H82</f>
        <v>0</v>
      </c>
      <c r="I81" s="117">
        <f t="shared" si="30"/>
        <v>0</v>
      </c>
      <c r="J81" s="117">
        <f t="shared" si="30"/>
        <v>0</v>
      </c>
      <c r="K81" s="114" t="e">
        <f t="shared" si="18"/>
        <v>#DIV/0!</v>
      </c>
      <c r="L81" s="114" t="e">
        <f>J81/I81*100</f>
        <v>#DIV/0!</v>
      </c>
      <c r="N81" s="121"/>
    </row>
    <row r="82" spans="2:14" x14ac:dyDescent="0.25">
      <c r="B82" s="54"/>
      <c r="C82" s="37"/>
      <c r="D82" s="37"/>
      <c r="E82" s="55">
        <v>3241</v>
      </c>
      <c r="F82" s="54" t="s">
        <v>204</v>
      </c>
      <c r="G82" s="48">
        <v>0</v>
      </c>
      <c r="H82" s="48">
        <f>+I82</f>
        <v>0</v>
      </c>
      <c r="I82" s="48">
        <v>0</v>
      </c>
      <c r="J82" s="48">
        <v>0</v>
      </c>
      <c r="K82" s="114" t="e">
        <f t="shared" si="18"/>
        <v>#DIV/0!</v>
      </c>
      <c r="L82" s="114" t="e">
        <f t="shared" si="19"/>
        <v>#DIV/0!</v>
      </c>
      <c r="N82" s="121"/>
    </row>
    <row r="83" spans="2:14" x14ac:dyDescent="0.25">
      <c r="B83" s="115"/>
      <c r="C83" s="120"/>
      <c r="D83" s="116">
        <v>329</v>
      </c>
      <c r="E83" s="103"/>
      <c r="F83" s="115" t="s">
        <v>189</v>
      </c>
      <c r="G83" s="117">
        <f>G84+G85+G86+G87+G88</f>
        <v>14240.67</v>
      </c>
      <c r="H83" s="117">
        <f t="shared" ref="H83:J83" si="31">H84+H85+H86+H87+H88</f>
        <v>18700</v>
      </c>
      <c r="I83" s="117">
        <f t="shared" si="31"/>
        <v>18700</v>
      </c>
      <c r="J83" s="117">
        <f t="shared" si="31"/>
        <v>15700</v>
      </c>
      <c r="K83" s="114">
        <f t="shared" si="18"/>
        <v>110.2476217762226</v>
      </c>
      <c r="L83" s="114">
        <f t="shared" si="19"/>
        <v>83.957219251336895</v>
      </c>
      <c r="N83" s="121"/>
    </row>
    <row r="84" spans="2:14" x14ac:dyDescent="0.25">
      <c r="B84" s="54"/>
      <c r="C84" s="37"/>
      <c r="D84" s="37"/>
      <c r="E84" s="55" t="s">
        <v>190</v>
      </c>
      <c r="F84" s="54" t="s">
        <v>191</v>
      </c>
      <c r="G84" s="48">
        <v>5889</v>
      </c>
      <c r="H84" s="48">
        <f>+I84</f>
        <v>9000</v>
      </c>
      <c r="I84" s="48">
        <v>9000</v>
      </c>
      <c r="J84" s="48">
        <v>9000</v>
      </c>
      <c r="K84" s="114">
        <f t="shared" si="18"/>
        <v>152.82730514518593</v>
      </c>
      <c r="L84" s="114">
        <f t="shared" si="19"/>
        <v>100</v>
      </c>
      <c r="N84" s="121"/>
    </row>
    <row r="85" spans="2:14" x14ac:dyDescent="0.25">
      <c r="B85" s="54"/>
      <c r="C85" s="37"/>
      <c r="D85" s="37"/>
      <c r="E85" s="55">
        <v>3292</v>
      </c>
      <c r="F85" s="54" t="s">
        <v>192</v>
      </c>
      <c r="G85" s="48">
        <v>6657.67</v>
      </c>
      <c r="H85" s="48">
        <f t="shared" ref="H85:H88" si="32">+I85</f>
        <v>5000</v>
      </c>
      <c r="I85" s="48">
        <v>5000</v>
      </c>
      <c r="J85" s="48">
        <v>5000</v>
      </c>
      <c r="K85" s="114">
        <f t="shared" si="18"/>
        <v>75.101349270840998</v>
      </c>
      <c r="L85" s="114">
        <f t="shared" si="19"/>
        <v>100</v>
      </c>
      <c r="N85" s="121"/>
    </row>
    <row r="86" spans="2:14" x14ac:dyDescent="0.25">
      <c r="B86" s="54"/>
      <c r="C86" s="37"/>
      <c r="D86" s="37"/>
      <c r="E86" s="55" t="s">
        <v>193</v>
      </c>
      <c r="F86" s="54" t="s">
        <v>194</v>
      </c>
      <c r="G86" s="48">
        <v>0</v>
      </c>
      <c r="H86" s="48">
        <f t="shared" si="32"/>
        <v>2000</v>
      </c>
      <c r="I86" s="48">
        <v>2000</v>
      </c>
      <c r="J86" s="48">
        <v>0</v>
      </c>
      <c r="K86" s="114" t="e">
        <f t="shared" si="18"/>
        <v>#DIV/0!</v>
      </c>
      <c r="L86" s="114">
        <f t="shared" si="19"/>
        <v>0</v>
      </c>
      <c r="N86" s="121"/>
    </row>
    <row r="87" spans="2:14" x14ac:dyDescent="0.25">
      <c r="B87" s="54"/>
      <c r="C87" s="37"/>
      <c r="D87" s="37"/>
      <c r="E87" s="55">
        <v>3294</v>
      </c>
      <c r="F87" s="54" t="s">
        <v>195</v>
      </c>
      <c r="G87" s="48">
        <v>929</v>
      </c>
      <c r="H87" s="48">
        <f t="shared" si="32"/>
        <v>700</v>
      </c>
      <c r="I87" s="48">
        <v>700</v>
      </c>
      <c r="J87" s="48">
        <v>700</v>
      </c>
      <c r="K87" s="114">
        <f t="shared" si="18"/>
        <v>75.349838536060275</v>
      </c>
      <c r="L87" s="114">
        <f t="shared" si="19"/>
        <v>100</v>
      </c>
      <c r="N87" s="121"/>
    </row>
    <row r="88" spans="2:14" x14ac:dyDescent="0.25">
      <c r="B88" s="54"/>
      <c r="C88" s="37"/>
      <c r="D88" s="37"/>
      <c r="E88" s="55" t="s">
        <v>196</v>
      </c>
      <c r="F88" s="54" t="s">
        <v>189</v>
      </c>
      <c r="G88" s="48">
        <v>765</v>
      </c>
      <c r="H88" s="48">
        <f t="shared" si="32"/>
        <v>2000</v>
      </c>
      <c r="I88" s="48">
        <f>1000+1000</f>
        <v>2000</v>
      </c>
      <c r="J88" s="48">
        <v>1000</v>
      </c>
      <c r="K88" s="114">
        <f t="shared" si="18"/>
        <v>130.718954248366</v>
      </c>
      <c r="L88" s="114">
        <f t="shared" si="19"/>
        <v>50</v>
      </c>
      <c r="N88" s="121"/>
    </row>
    <row r="89" spans="2:14" x14ac:dyDescent="0.25">
      <c r="B89" s="115"/>
      <c r="C89" s="116">
        <v>34</v>
      </c>
      <c r="D89" s="104"/>
      <c r="E89" s="103"/>
      <c r="F89" s="112" t="s">
        <v>197</v>
      </c>
      <c r="G89" s="117">
        <f>G90</f>
        <v>2062</v>
      </c>
      <c r="H89" s="117">
        <f t="shared" ref="H89:J89" si="33">H90</f>
        <v>2000</v>
      </c>
      <c r="I89" s="117">
        <f t="shared" si="33"/>
        <v>2000</v>
      </c>
      <c r="J89" s="117">
        <f t="shared" si="33"/>
        <v>2000</v>
      </c>
      <c r="K89" s="114">
        <f t="shared" si="18"/>
        <v>96.993210475266736</v>
      </c>
      <c r="L89" s="114">
        <f t="shared" si="19"/>
        <v>100</v>
      </c>
      <c r="N89" s="121"/>
    </row>
    <row r="90" spans="2:14" x14ac:dyDescent="0.25">
      <c r="B90" s="115"/>
      <c r="C90" s="104"/>
      <c r="D90" s="116">
        <v>343</v>
      </c>
      <c r="E90" s="103"/>
      <c r="F90" s="115" t="s">
        <v>198</v>
      </c>
      <c r="G90" s="117">
        <f>G91+G92</f>
        <v>2062</v>
      </c>
      <c r="H90" s="117">
        <f t="shared" ref="H90:J90" si="34">H91+H92</f>
        <v>2000</v>
      </c>
      <c r="I90" s="117">
        <f t="shared" si="34"/>
        <v>2000</v>
      </c>
      <c r="J90" s="117">
        <f t="shared" si="34"/>
        <v>2000</v>
      </c>
      <c r="K90" s="114">
        <f t="shared" si="18"/>
        <v>96.993210475266736</v>
      </c>
      <c r="L90" s="114">
        <f t="shared" si="19"/>
        <v>100</v>
      </c>
      <c r="N90" s="121"/>
    </row>
    <row r="91" spans="2:14" x14ac:dyDescent="0.25">
      <c r="B91" s="54"/>
      <c r="C91" s="37"/>
      <c r="D91" s="37"/>
      <c r="E91" s="55" t="s">
        <v>199</v>
      </c>
      <c r="F91" s="54" t="s">
        <v>200</v>
      </c>
      <c r="G91" s="48">
        <v>2062</v>
      </c>
      <c r="H91" s="48">
        <f>+I91</f>
        <v>2000</v>
      </c>
      <c r="I91" s="48">
        <v>2000</v>
      </c>
      <c r="J91" s="48">
        <v>2000</v>
      </c>
      <c r="K91" s="114">
        <f t="shared" si="18"/>
        <v>96.993210475266736</v>
      </c>
      <c r="L91" s="114">
        <f t="shared" si="19"/>
        <v>100</v>
      </c>
      <c r="N91" s="121"/>
    </row>
    <row r="92" spans="2:14" x14ac:dyDescent="0.25">
      <c r="B92" s="54"/>
      <c r="C92" s="37"/>
      <c r="D92" s="37"/>
      <c r="E92" s="55" t="s">
        <v>269</v>
      </c>
      <c r="F92" s="54" t="s">
        <v>270</v>
      </c>
      <c r="G92" s="48">
        <v>0</v>
      </c>
      <c r="H92" s="48">
        <f>+I92</f>
        <v>0</v>
      </c>
      <c r="I92" s="48">
        <v>0</v>
      </c>
      <c r="J92" s="48">
        <v>0</v>
      </c>
      <c r="K92" s="114" t="e">
        <f t="shared" si="18"/>
        <v>#DIV/0!</v>
      </c>
      <c r="L92" s="114" t="e">
        <f t="shared" si="19"/>
        <v>#DIV/0!</v>
      </c>
      <c r="N92" s="121"/>
    </row>
    <row r="93" spans="2:14" x14ac:dyDescent="0.25">
      <c r="B93" s="115"/>
      <c r="C93" s="116" t="s">
        <v>201</v>
      </c>
      <c r="D93" s="104"/>
      <c r="E93" s="103"/>
      <c r="F93" s="112" t="s">
        <v>202</v>
      </c>
      <c r="G93" s="117">
        <f>+G94</f>
        <v>200.66</v>
      </c>
      <c r="H93" s="117">
        <f t="shared" ref="H93:J94" si="35">+H94</f>
        <v>208</v>
      </c>
      <c r="I93" s="117">
        <f t="shared" si="35"/>
        <v>208</v>
      </c>
      <c r="J93" s="117">
        <f t="shared" si="35"/>
        <v>273.36</v>
      </c>
      <c r="K93" s="114">
        <f t="shared" si="18"/>
        <v>136.2304395494867</v>
      </c>
      <c r="L93" s="114">
        <f t="shared" si="19"/>
        <v>131.42307692307693</v>
      </c>
      <c r="N93" s="121"/>
    </row>
    <row r="94" spans="2:14" x14ac:dyDescent="0.25">
      <c r="B94" s="115"/>
      <c r="C94" s="104"/>
      <c r="D94" s="116">
        <v>369</v>
      </c>
      <c r="E94" s="103"/>
      <c r="F94" s="115" t="s">
        <v>203</v>
      </c>
      <c r="G94" s="117">
        <f>+G95</f>
        <v>200.66</v>
      </c>
      <c r="H94" s="117">
        <f t="shared" si="35"/>
        <v>208</v>
      </c>
      <c r="I94" s="117">
        <f t="shared" si="35"/>
        <v>208</v>
      </c>
      <c r="J94" s="117">
        <f t="shared" si="35"/>
        <v>273.36</v>
      </c>
      <c r="K94" s="114">
        <f t="shared" si="18"/>
        <v>136.2304395494867</v>
      </c>
      <c r="L94" s="114">
        <f>J94/I94*100</f>
        <v>131.42307692307693</v>
      </c>
      <c r="N94" s="121"/>
    </row>
    <row r="95" spans="2:14" x14ac:dyDescent="0.25">
      <c r="B95" s="54"/>
      <c r="C95" s="37"/>
      <c r="D95" s="37"/>
      <c r="E95" s="55">
        <v>3691</v>
      </c>
      <c r="F95" s="54" t="s">
        <v>69</v>
      </c>
      <c r="G95" s="48">
        <v>200.66</v>
      </c>
      <c r="H95" s="48">
        <f>+I95</f>
        <v>208</v>
      </c>
      <c r="I95" s="48">
        <f>104+104</f>
        <v>208</v>
      </c>
      <c r="J95" s="48">
        <v>273.36</v>
      </c>
      <c r="K95" s="114">
        <f t="shared" si="18"/>
        <v>136.2304395494867</v>
      </c>
      <c r="L95" s="114">
        <f t="shared" si="19"/>
        <v>131.42307692307693</v>
      </c>
      <c r="N95" s="121"/>
    </row>
    <row r="96" spans="2:14" x14ac:dyDescent="0.25">
      <c r="B96" s="111">
        <v>4</v>
      </c>
      <c r="C96" s="111"/>
      <c r="D96" s="104"/>
      <c r="E96" s="103"/>
      <c r="F96" s="112" t="s">
        <v>5</v>
      </c>
      <c r="G96" s="119">
        <f>G97+G109</f>
        <v>0</v>
      </c>
      <c r="H96" s="119">
        <f t="shared" ref="H96:J96" si="36">H97+H109</f>
        <v>43379</v>
      </c>
      <c r="I96" s="119">
        <f t="shared" si="36"/>
        <v>43379</v>
      </c>
      <c r="J96" s="119">
        <f t="shared" si="36"/>
        <v>99877.08</v>
      </c>
      <c r="K96" s="114" t="e">
        <f t="shared" si="18"/>
        <v>#DIV/0!</v>
      </c>
      <c r="L96" s="114">
        <f t="shared" si="19"/>
        <v>230.24292860600752</v>
      </c>
      <c r="N96" s="121"/>
    </row>
    <row r="97" spans="2:14" x14ac:dyDescent="0.25">
      <c r="B97" s="115"/>
      <c r="C97" s="116">
        <v>42</v>
      </c>
      <c r="D97" s="104"/>
      <c r="E97" s="103"/>
      <c r="F97" s="112" t="s">
        <v>205</v>
      </c>
      <c r="G97" s="117">
        <f>G98+G101+G105+G107</f>
        <v>0</v>
      </c>
      <c r="H97" s="117">
        <f t="shared" ref="H97:J97" si="37">H98+H101+H105+H107</f>
        <v>43379</v>
      </c>
      <c r="I97" s="117">
        <f t="shared" si="37"/>
        <v>43379</v>
      </c>
      <c r="J97" s="117">
        <f t="shared" si="37"/>
        <v>99877.08</v>
      </c>
      <c r="K97" s="114" t="e">
        <f t="shared" si="18"/>
        <v>#DIV/0!</v>
      </c>
      <c r="L97" s="114">
        <f t="shared" si="19"/>
        <v>230.24292860600752</v>
      </c>
      <c r="N97" s="121"/>
    </row>
    <row r="98" spans="2:14" x14ac:dyDescent="0.25">
      <c r="B98" s="115"/>
      <c r="C98" s="104"/>
      <c r="D98" s="116" t="s">
        <v>206</v>
      </c>
      <c r="E98" s="103"/>
      <c r="F98" s="115" t="s">
        <v>207</v>
      </c>
      <c r="G98" s="117">
        <f>G99+G100</f>
        <v>0</v>
      </c>
      <c r="H98" s="117">
        <f t="shared" ref="H98:J98" si="38">H99+H100</f>
        <v>0</v>
      </c>
      <c r="I98" s="117">
        <f t="shared" si="38"/>
        <v>0</v>
      </c>
      <c r="J98" s="117">
        <f t="shared" si="38"/>
        <v>0</v>
      </c>
      <c r="K98" s="114" t="e">
        <f t="shared" si="18"/>
        <v>#DIV/0!</v>
      </c>
      <c r="L98" s="114" t="e">
        <f t="shared" si="19"/>
        <v>#DIV/0!</v>
      </c>
      <c r="N98" s="121"/>
    </row>
    <row r="99" spans="2:14" x14ac:dyDescent="0.25">
      <c r="B99" s="54"/>
      <c r="C99" s="37"/>
      <c r="D99" s="37"/>
      <c r="E99" s="55" t="s">
        <v>208</v>
      </c>
      <c r="F99" s="54" t="s">
        <v>209</v>
      </c>
      <c r="G99" s="48">
        <v>0</v>
      </c>
      <c r="H99" s="48">
        <f>+I99</f>
        <v>0</v>
      </c>
      <c r="I99" s="48">
        <v>0</v>
      </c>
      <c r="J99" s="48">
        <v>0</v>
      </c>
      <c r="K99" s="114" t="e">
        <f t="shared" si="18"/>
        <v>#DIV/0!</v>
      </c>
      <c r="L99" s="114" t="e">
        <f t="shared" si="19"/>
        <v>#DIV/0!</v>
      </c>
      <c r="N99" s="121"/>
    </row>
    <row r="100" spans="2:14" x14ac:dyDescent="0.25">
      <c r="B100" s="54"/>
      <c r="C100" s="37"/>
      <c r="D100" s="37"/>
      <c r="E100" s="55" t="s">
        <v>210</v>
      </c>
      <c r="F100" s="54" t="s">
        <v>211</v>
      </c>
      <c r="G100" s="48">
        <v>0</v>
      </c>
      <c r="H100" s="48">
        <f>+I100</f>
        <v>0</v>
      </c>
      <c r="I100" s="48">
        <v>0</v>
      </c>
      <c r="J100" s="48">
        <v>0</v>
      </c>
      <c r="K100" s="114" t="e">
        <f t="shared" si="18"/>
        <v>#DIV/0!</v>
      </c>
      <c r="L100" s="114" t="e">
        <f t="shared" si="19"/>
        <v>#DIV/0!</v>
      </c>
      <c r="N100" s="121"/>
    </row>
    <row r="101" spans="2:14" x14ac:dyDescent="0.25">
      <c r="B101" s="115"/>
      <c r="C101" s="104"/>
      <c r="D101" s="116">
        <v>422</v>
      </c>
      <c r="E101" s="120"/>
      <c r="F101" s="115" t="s">
        <v>212</v>
      </c>
      <c r="G101" s="117">
        <f>G102+G103+G104</f>
        <v>0</v>
      </c>
      <c r="H101" s="117">
        <f t="shared" ref="H101:J101" si="39">H102+H103+H104</f>
        <v>43379</v>
      </c>
      <c r="I101" s="117">
        <f t="shared" si="39"/>
        <v>43379</v>
      </c>
      <c r="J101" s="117">
        <f t="shared" si="39"/>
        <v>99877.08</v>
      </c>
      <c r="K101" s="114" t="e">
        <f t="shared" si="18"/>
        <v>#DIV/0!</v>
      </c>
      <c r="L101" s="114">
        <f>J101/I101*100</f>
        <v>230.24292860600752</v>
      </c>
      <c r="N101" s="121"/>
    </row>
    <row r="102" spans="2:14" x14ac:dyDescent="0.25">
      <c r="B102" s="54"/>
      <c r="C102" s="37"/>
      <c r="D102" s="37"/>
      <c r="E102" s="55" t="s">
        <v>213</v>
      </c>
      <c r="F102" s="54" t="s">
        <v>95</v>
      </c>
      <c r="G102" s="48">
        <v>0</v>
      </c>
      <c r="H102" s="48">
        <f>+I102</f>
        <v>0</v>
      </c>
      <c r="I102" s="48">
        <v>0</v>
      </c>
      <c r="J102" s="48">
        <v>0</v>
      </c>
      <c r="K102" s="114" t="e">
        <f t="shared" si="18"/>
        <v>#DIV/0!</v>
      </c>
      <c r="L102" s="114" t="e">
        <f t="shared" si="19"/>
        <v>#DIV/0!</v>
      </c>
      <c r="N102" s="121"/>
    </row>
    <row r="103" spans="2:14" x14ac:dyDescent="0.25">
      <c r="B103" s="54"/>
      <c r="C103" s="37"/>
      <c r="D103" s="37"/>
      <c r="E103" s="55" t="s">
        <v>214</v>
      </c>
      <c r="F103" s="54" t="s">
        <v>215</v>
      </c>
      <c r="G103" s="48">
        <v>0</v>
      </c>
      <c r="H103" s="48">
        <f>+I103</f>
        <v>0</v>
      </c>
      <c r="I103" s="48">
        <v>0</v>
      </c>
      <c r="J103" s="48">
        <v>0</v>
      </c>
      <c r="K103" s="114" t="e">
        <f t="shared" si="18"/>
        <v>#DIV/0!</v>
      </c>
      <c r="L103" s="114" t="e">
        <f t="shared" si="19"/>
        <v>#DIV/0!</v>
      </c>
      <c r="N103" s="121"/>
    </row>
    <row r="104" spans="2:14" x14ac:dyDescent="0.25">
      <c r="B104" s="54"/>
      <c r="C104" s="37"/>
      <c r="D104" s="37"/>
      <c r="E104" s="55" t="s">
        <v>216</v>
      </c>
      <c r="F104" s="54" t="s">
        <v>96</v>
      </c>
      <c r="G104" s="48"/>
      <c r="H104" s="48">
        <f>+I104</f>
        <v>43379</v>
      </c>
      <c r="I104" s="48">
        <f>4000+5200+1800+32379</f>
        <v>43379</v>
      </c>
      <c r="J104" s="48">
        <v>99877.08</v>
      </c>
      <c r="K104" s="114" t="e">
        <f t="shared" si="18"/>
        <v>#DIV/0!</v>
      </c>
      <c r="L104" s="114">
        <f t="shared" si="19"/>
        <v>230.24292860600752</v>
      </c>
      <c r="N104" s="121"/>
    </row>
    <row r="105" spans="2:14" x14ac:dyDescent="0.25">
      <c r="B105" s="115"/>
      <c r="C105" s="104"/>
      <c r="D105" s="116" t="s">
        <v>217</v>
      </c>
      <c r="E105" s="103"/>
      <c r="F105" s="115" t="s">
        <v>218</v>
      </c>
      <c r="G105" s="117">
        <f>G106</f>
        <v>0</v>
      </c>
      <c r="H105" s="117">
        <f t="shared" ref="H105:J105" si="40">H106</f>
        <v>0</v>
      </c>
      <c r="I105" s="117">
        <f t="shared" si="40"/>
        <v>0</v>
      </c>
      <c r="J105" s="117">
        <f t="shared" si="40"/>
        <v>0</v>
      </c>
      <c r="K105" s="114" t="e">
        <f t="shared" si="18"/>
        <v>#DIV/0!</v>
      </c>
      <c r="L105" s="114" t="e">
        <f t="shared" si="19"/>
        <v>#DIV/0!</v>
      </c>
      <c r="N105" s="121"/>
    </row>
    <row r="106" spans="2:14" x14ac:dyDescent="0.25">
      <c r="B106" s="54"/>
      <c r="C106" s="37"/>
      <c r="D106" s="37"/>
      <c r="E106" s="55" t="s">
        <v>219</v>
      </c>
      <c r="F106" s="54" t="s">
        <v>97</v>
      </c>
      <c r="G106" s="48">
        <v>0</v>
      </c>
      <c r="H106" s="48">
        <f>+I106</f>
        <v>0</v>
      </c>
      <c r="I106" s="48">
        <v>0</v>
      </c>
      <c r="J106" s="48">
        <v>0</v>
      </c>
      <c r="K106" s="114" t="e">
        <f t="shared" si="18"/>
        <v>#DIV/0!</v>
      </c>
      <c r="L106" s="114" t="e">
        <f t="shared" si="19"/>
        <v>#DIV/0!</v>
      </c>
      <c r="N106" s="121"/>
    </row>
    <row r="107" spans="2:14" x14ac:dyDescent="0.25">
      <c r="B107" s="115"/>
      <c r="C107" s="104"/>
      <c r="D107" s="116" t="s">
        <v>220</v>
      </c>
      <c r="E107" s="103"/>
      <c r="F107" s="115" t="s">
        <v>221</v>
      </c>
      <c r="G107" s="117">
        <f>G108</f>
        <v>0</v>
      </c>
      <c r="H107" s="117">
        <f t="shared" ref="H107:J107" si="41">H108</f>
        <v>0</v>
      </c>
      <c r="I107" s="117">
        <f t="shared" si="41"/>
        <v>0</v>
      </c>
      <c r="J107" s="117">
        <f t="shared" si="41"/>
        <v>0</v>
      </c>
      <c r="K107" s="114" t="e">
        <f t="shared" si="18"/>
        <v>#DIV/0!</v>
      </c>
      <c r="L107" s="114" t="e">
        <f t="shared" si="19"/>
        <v>#DIV/0!</v>
      </c>
      <c r="N107" s="121"/>
    </row>
    <row r="108" spans="2:14" x14ac:dyDescent="0.25">
      <c r="B108" s="54"/>
      <c r="C108" s="37"/>
      <c r="D108" s="37"/>
      <c r="E108" s="55" t="s">
        <v>222</v>
      </c>
      <c r="F108" s="54" t="s">
        <v>223</v>
      </c>
      <c r="G108" s="48">
        <v>0</v>
      </c>
      <c r="H108" s="48">
        <f>+I108</f>
        <v>0</v>
      </c>
      <c r="I108" s="48">
        <v>0</v>
      </c>
      <c r="J108" s="48">
        <v>0</v>
      </c>
      <c r="K108" s="114" t="e">
        <f t="shared" si="18"/>
        <v>#DIV/0!</v>
      </c>
      <c r="L108" s="114" t="e">
        <f t="shared" si="19"/>
        <v>#DIV/0!</v>
      </c>
      <c r="N108" s="121"/>
    </row>
    <row r="109" spans="2:14" x14ac:dyDescent="0.25">
      <c r="B109" s="115"/>
      <c r="C109" s="116" t="s">
        <v>224</v>
      </c>
      <c r="D109" s="104"/>
      <c r="E109" s="103"/>
      <c r="F109" s="112" t="s">
        <v>225</v>
      </c>
      <c r="G109" s="117">
        <f>+G110</f>
        <v>0</v>
      </c>
      <c r="H109" s="117">
        <f t="shared" ref="H109:J109" si="42">+H110</f>
        <v>0</v>
      </c>
      <c r="I109" s="117">
        <f t="shared" si="42"/>
        <v>0</v>
      </c>
      <c r="J109" s="117">
        <f t="shared" si="42"/>
        <v>0</v>
      </c>
      <c r="K109" s="114" t="e">
        <f t="shared" si="18"/>
        <v>#DIV/0!</v>
      </c>
      <c r="L109" s="114" t="e">
        <f t="shared" si="19"/>
        <v>#DIV/0!</v>
      </c>
      <c r="N109" s="121"/>
    </row>
    <row r="110" spans="2:14" x14ac:dyDescent="0.25">
      <c r="B110" s="115"/>
      <c r="C110" s="104"/>
      <c r="D110" s="116" t="s">
        <v>226</v>
      </c>
      <c r="E110" s="103"/>
      <c r="F110" s="115" t="s">
        <v>227</v>
      </c>
      <c r="G110" s="117">
        <f>G111</f>
        <v>0</v>
      </c>
      <c r="H110" s="117">
        <f t="shared" ref="H110:J110" si="43">H111</f>
        <v>0</v>
      </c>
      <c r="I110" s="117">
        <f t="shared" si="43"/>
        <v>0</v>
      </c>
      <c r="J110" s="117">
        <f t="shared" si="43"/>
        <v>0</v>
      </c>
      <c r="K110" s="114" t="e">
        <f t="shared" si="18"/>
        <v>#DIV/0!</v>
      </c>
      <c r="L110" s="114" t="e">
        <f t="shared" si="19"/>
        <v>#DIV/0!</v>
      </c>
      <c r="N110" s="121"/>
    </row>
    <row r="111" spans="2:14" x14ac:dyDescent="0.25">
      <c r="B111" s="54"/>
      <c r="C111" s="37"/>
      <c r="D111" s="37"/>
      <c r="E111" s="55" t="s">
        <v>228</v>
      </c>
      <c r="F111" s="54" t="s">
        <v>227</v>
      </c>
      <c r="G111" s="48">
        <v>0</v>
      </c>
      <c r="H111" s="48">
        <f>+I111</f>
        <v>0</v>
      </c>
      <c r="I111" s="48">
        <v>0</v>
      </c>
      <c r="J111" s="48">
        <v>0</v>
      </c>
      <c r="K111" s="114" t="e">
        <f t="shared" si="18"/>
        <v>#DIV/0!</v>
      </c>
      <c r="L111" s="114" t="e">
        <f t="shared" si="19"/>
        <v>#DIV/0!</v>
      </c>
      <c r="N111" s="121"/>
    </row>
    <row r="112" spans="2:14" ht="15" customHeight="1" x14ac:dyDescent="0.25"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</row>
    <row r="113" spans="2:12" x14ac:dyDescent="0.25"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</row>
    <row r="114" spans="2:12" ht="4.5" customHeight="1" x14ac:dyDescent="0.25"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2" x14ac:dyDescent="0.25">
      <c r="J115" s="121"/>
    </row>
    <row r="116" spans="2:12" x14ac:dyDescent="0.25">
      <c r="G116" s="121"/>
    </row>
  </sheetData>
  <mergeCells count="7">
    <mergeCell ref="B2:L2"/>
    <mergeCell ref="B4:L4"/>
    <mergeCell ref="B6:L6"/>
    <mergeCell ref="B49:F49"/>
    <mergeCell ref="B9:F9"/>
    <mergeCell ref="B48:F48"/>
    <mergeCell ref="B8:F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1" manualBreakCount="1">
    <brk id="4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tabSelected="1" zoomScaleNormal="100" workbookViewId="0">
      <selection activeCell="M6" sqref="J6:M6"/>
    </sheetView>
  </sheetViews>
  <sheetFormatPr defaultRowHeight="12.75" x14ac:dyDescent="0.2"/>
  <cols>
    <col min="1" max="1" width="9.140625" style="29"/>
    <col min="2" max="2" width="37.7109375" style="29" customWidth="1"/>
    <col min="3" max="6" width="25.28515625" style="29" customWidth="1"/>
    <col min="7" max="8" width="15.7109375" style="29" customWidth="1"/>
    <col min="9" max="9" width="11.28515625" style="124" bestFit="1" customWidth="1"/>
    <col min="10" max="10" width="13.140625" style="29" customWidth="1"/>
    <col min="11" max="14" width="10.85546875" style="29" customWidth="1"/>
    <col min="15" max="16384" width="9.140625" style="29"/>
  </cols>
  <sheetData>
    <row r="1" spans="2:13" x14ac:dyDescent="0.2">
      <c r="B1" s="31"/>
      <c r="C1" s="31"/>
      <c r="D1" s="31"/>
      <c r="E1" s="31"/>
      <c r="F1" s="4"/>
      <c r="G1" s="4"/>
      <c r="H1" s="4"/>
    </row>
    <row r="2" spans="2:13" ht="15.75" customHeight="1" x14ac:dyDescent="0.2">
      <c r="B2" s="134" t="s">
        <v>34</v>
      </c>
      <c r="C2" s="134"/>
      <c r="D2" s="134"/>
      <c r="E2" s="134"/>
      <c r="F2" s="134"/>
      <c r="G2" s="134"/>
      <c r="H2" s="134"/>
    </row>
    <row r="3" spans="2:13" x14ac:dyDescent="0.2">
      <c r="B3" s="31"/>
      <c r="C3" s="31"/>
      <c r="D3" s="31"/>
      <c r="E3" s="31"/>
      <c r="F3" s="4"/>
      <c r="G3" s="4"/>
      <c r="H3" s="4"/>
    </row>
    <row r="4" spans="2:13" ht="33.75" customHeight="1" x14ac:dyDescent="0.2">
      <c r="B4" s="20" t="s">
        <v>6</v>
      </c>
      <c r="C4" s="20" t="s">
        <v>263</v>
      </c>
      <c r="D4" s="20" t="s">
        <v>286</v>
      </c>
      <c r="E4" s="20" t="s">
        <v>287</v>
      </c>
      <c r="F4" s="20" t="s">
        <v>289</v>
      </c>
      <c r="G4" s="20" t="s">
        <v>18</v>
      </c>
      <c r="H4" s="20" t="s">
        <v>44</v>
      </c>
    </row>
    <row r="5" spans="2:13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13" x14ac:dyDescent="0.2">
      <c r="B6" s="7" t="s">
        <v>41</v>
      </c>
      <c r="C6" s="44">
        <f>C7+C9+C11+C13+C17+C19</f>
        <v>499112.34</v>
      </c>
      <c r="D6" s="44">
        <f t="shared" ref="D6:F6" si="0">D7+D9+D11+D13+D17+D19</f>
        <v>870223</v>
      </c>
      <c r="E6" s="44">
        <f t="shared" si="0"/>
        <v>870223</v>
      </c>
      <c r="F6" s="44">
        <f t="shared" si="0"/>
        <v>909886.97</v>
      </c>
      <c r="G6" s="45">
        <f>F6/C6*100</f>
        <v>182.30103667643237</v>
      </c>
      <c r="H6" s="45">
        <f>F6/E6*100</f>
        <v>104.55790871994878</v>
      </c>
      <c r="I6" s="130"/>
      <c r="J6" s="83">
        <f>SAŽETAK!G19-'PiRashodi prema izvorima finan'!C6</f>
        <v>0</v>
      </c>
      <c r="K6" s="83">
        <f>SAŽETAK!H19-'PiRashodi prema izvorima finan'!D6</f>
        <v>0</v>
      </c>
      <c r="L6" s="83">
        <f>SAŽETAK!I19-'PiRashodi prema izvorima finan'!E6</f>
        <v>0</v>
      </c>
      <c r="M6" s="83">
        <f>SAŽETAK!J19-'PiRashodi prema izvorima finan'!F6</f>
        <v>0</v>
      </c>
    </row>
    <row r="7" spans="2:13" ht="15" customHeight="1" x14ac:dyDescent="0.2">
      <c r="B7" s="7" t="s">
        <v>14</v>
      </c>
      <c r="C7" s="44">
        <f>C8</f>
        <v>371588.06</v>
      </c>
      <c r="D7" s="44">
        <f t="shared" ref="D7:F7" si="1">D8</f>
        <v>590000</v>
      </c>
      <c r="E7" s="44">
        <f t="shared" si="1"/>
        <v>590000</v>
      </c>
      <c r="F7" s="44">
        <f t="shared" si="1"/>
        <v>556444.47</v>
      </c>
      <c r="G7" s="45">
        <f t="shared" ref="G7:G20" si="2">F7/C7*100</f>
        <v>149.74767219377284</v>
      </c>
      <c r="H7" s="45">
        <f t="shared" ref="H7:H20" si="3">F7/E7*100</f>
        <v>94.312622033898293</v>
      </c>
      <c r="J7" s="83"/>
    </row>
    <row r="8" spans="2:13" ht="15.75" customHeight="1" x14ac:dyDescent="0.2">
      <c r="B8" s="13" t="s">
        <v>15</v>
      </c>
      <c r="C8" s="43">
        <v>371588.06</v>
      </c>
      <c r="D8" s="43">
        <f>+E8</f>
        <v>590000</v>
      </c>
      <c r="E8" s="43">
        <f>375128+214872</f>
        <v>590000</v>
      </c>
      <c r="F8" s="43">
        <v>556444.47</v>
      </c>
      <c r="G8" s="38">
        <f t="shared" si="2"/>
        <v>149.74767219377284</v>
      </c>
      <c r="H8" s="38">
        <f t="shared" si="3"/>
        <v>94.312622033898293</v>
      </c>
    </row>
    <row r="9" spans="2:13" ht="15" customHeight="1" x14ac:dyDescent="0.2">
      <c r="B9" s="7" t="s">
        <v>16</v>
      </c>
      <c r="C9" s="44">
        <f>C10</f>
        <v>33091.58</v>
      </c>
      <c r="D9" s="44">
        <f t="shared" ref="D9:F9" si="4">D10</f>
        <v>47741</v>
      </c>
      <c r="E9" s="44">
        <f t="shared" si="4"/>
        <v>47741</v>
      </c>
      <c r="F9" s="44">
        <f t="shared" si="4"/>
        <v>35308.58</v>
      </c>
      <c r="G9" s="45">
        <f t="shared" si="2"/>
        <v>106.69958944238988</v>
      </c>
      <c r="H9" s="45">
        <f t="shared" si="3"/>
        <v>73.958609999790539</v>
      </c>
    </row>
    <row r="10" spans="2:13" ht="15" customHeight="1" x14ac:dyDescent="0.2">
      <c r="B10" s="14" t="s">
        <v>17</v>
      </c>
      <c r="C10" s="43">
        <v>33091.58</v>
      </c>
      <c r="D10" s="43">
        <f>+E10</f>
        <v>47741</v>
      </c>
      <c r="E10" s="43">
        <f>36650+11091</f>
        <v>47741</v>
      </c>
      <c r="F10" s="43">
        <v>35308.58</v>
      </c>
      <c r="G10" s="38">
        <f t="shared" si="2"/>
        <v>106.69958944238988</v>
      </c>
      <c r="H10" s="38">
        <f t="shared" si="3"/>
        <v>73.958609999790539</v>
      </c>
    </row>
    <row r="11" spans="2:13" ht="15" customHeight="1" x14ac:dyDescent="0.2">
      <c r="B11" s="7" t="s">
        <v>141</v>
      </c>
      <c r="C11" s="44">
        <f>C12</f>
        <v>6651.59</v>
      </c>
      <c r="D11" s="44">
        <f t="shared" ref="D11:F11" si="5">D12</f>
        <v>9164</v>
      </c>
      <c r="E11" s="44">
        <f t="shared" si="5"/>
        <v>9164</v>
      </c>
      <c r="F11" s="44">
        <f t="shared" si="5"/>
        <v>5931.17</v>
      </c>
      <c r="G11" s="45">
        <f t="shared" si="2"/>
        <v>89.169206159730237</v>
      </c>
      <c r="H11" s="45">
        <f t="shared" si="3"/>
        <v>64.722501091226533</v>
      </c>
    </row>
    <row r="12" spans="2:13" ht="15" customHeight="1" x14ac:dyDescent="0.2">
      <c r="B12" s="46" t="s">
        <v>142</v>
      </c>
      <c r="C12" s="43">
        <v>6651.59</v>
      </c>
      <c r="D12" s="43">
        <f>+E12</f>
        <v>9164</v>
      </c>
      <c r="E12" s="43">
        <f>4703+4060+401</f>
        <v>9164</v>
      </c>
      <c r="F12" s="43">
        <v>5931.17</v>
      </c>
      <c r="G12" s="38">
        <f t="shared" si="2"/>
        <v>89.169206159730237</v>
      </c>
      <c r="H12" s="38">
        <f t="shared" si="3"/>
        <v>64.722501091226533</v>
      </c>
    </row>
    <row r="13" spans="2:13" x14ac:dyDescent="0.2">
      <c r="B13" s="7" t="s">
        <v>143</v>
      </c>
      <c r="C13" s="44">
        <f>C14+C15</f>
        <v>87281.11</v>
      </c>
      <c r="D13" s="44">
        <f t="shared" ref="D13:F13" si="6">D14+D15</f>
        <v>216318</v>
      </c>
      <c r="E13" s="44">
        <f t="shared" si="6"/>
        <v>216318</v>
      </c>
      <c r="F13" s="44">
        <f t="shared" si="6"/>
        <v>250635.75</v>
      </c>
      <c r="G13" s="45">
        <f t="shared" si="2"/>
        <v>287.15921463418601</v>
      </c>
      <c r="H13" s="45">
        <f t="shared" si="3"/>
        <v>115.8644911657837</v>
      </c>
    </row>
    <row r="14" spans="2:13" x14ac:dyDescent="0.2">
      <c r="B14" s="46" t="s">
        <v>144</v>
      </c>
      <c r="C14" s="43">
        <v>73027.009999999995</v>
      </c>
      <c r="D14" s="43">
        <f>+E14</f>
        <v>183939</v>
      </c>
      <c r="E14" s="43">
        <f>179317+4622</f>
        <v>183939</v>
      </c>
      <c r="F14" s="43">
        <v>218257.42</v>
      </c>
      <c r="G14" s="38">
        <f t="shared" si="2"/>
        <v>298.87218441505416</v>
      </c>
      <c r="H14" s="38">
        <f t="shared" si="3"/>
        <v>118.6575005844329</v>
      </c>
    </row>
    <row r="15" spans="2:13" x14ac:dyDescent="0.2">
      <c r="B15" s="46" t="s">
        <v>145</v>
      </c>
      <c r="C15" s="43">
        <v>14254.1</v>
      </c>
      <c r="D15" s="43">
        <f>+E15</f>
        <v>32379</v>
      </c>
      <c r="E15" s="43">
        <f>+E16</f>
        <v>32379</v>
      </c>
      <c r="F15" s="43">
        <f>+F16</f>
        <v>32378.33</v>
      </c>
      <c r="G15" s="38">
        <f t="shared" si="2"/>
        <v>227.15099515227197</v>
      </c>
      <c r="H15" s="38">
        <f t="shared" si="3"/>
        <v>99.997930757589799</v>
      </c>
    </row>
    <row r="16" spans="2:13" ht="28.5" customHeight="1" x14ac:dyDescent="0.2">
      <c r="B16" s="46" t="s">
        <v>146</v>
      </c>
      <c r="C16" s="43">
        <v>14254.1</v>
      </c>
      <c r="D16" s="43">
        <f>+E16</f>
        <v>32379</v>
      </c>
      <c r="E16" s="43">
        <v>32379</v>
      </c>
      <c r="F16" s="43">
        <v>32378.33</v>
      </c>
      <c r="G16" s="38">
        <f t="shared" si="2"/>
        <v>227.15099515227197</v>
      </c>
      <c r="H16" s="38">
        <f t="shared" si="3"/>
        <v>99.997930757589799</v>
      </c>
    </row>
    <row r="17" spans="2:13" ht="15.75" customHeight="1" x14ac:dyDescent="0.2">
      <c r="B17" s="7" t="s">
        <v>147</v>
      </c>
      <c r="C17" s="44">
        <f>C18</f>
        <v>500</v>
      </c>
      <c r="D17" s="44">
        <f t="shared" ref="D17:F17" si="7">D18</f>
        <v>5200</v>
      </c>
      <c r="E17" s="44">
        <f t="shared" si="7"/>
        <v>5200</v>
      </c>
      <c r="F17" s="44">
        <f t="shared" si="7"/>
        <v>59767</v>
      </c>
      <c r="G17" s="45">
        <f t="shared" si="2"/>
        <v>11953.400000000001</v>
      </c>
      <c r="H17" s="45">
        <f t="shared" si="3"/>
        <v>1149.3653846153845</v>
      </c>
    </row>
    <row r="18" spans="2:13" ht="15" customHeight="1" x14ac:dyDescent="0.2">
      <c r="B18" s="46" t="s">
        <v>148</v>
      </c>
      <c r="C18" s="43">
        <v>500</v>
      </c>
      <c r="D18" s="43">
        <f>+E18</f>
        <v>5200</v>
      </c>
      <c r="E18" s="43">
        <v>5200</v>
      </c>
      <c r="F18" s="43">
        <v>59767</v>
      </c>
      <c r="G18" s="38">
        <f t="shared" si="2"/>
        <v>11953.400000000001</v>
      </c>
      <c r="H18" s="38">
        <f t="shared" si="3"/>
        <v>1149.3653846153845</v>
      </c>
    </row>
    <row r="19" spans="2:13" ht="24.75" customHeight="1" x14ac:dyDescent="0.2">
      <c r="B19" s="7" t="s">
        <v>149</v>
      </c>
      <c r="C19" s="44">
        <f>C20</f>
        <v>0</v>
      </c>
      <c r="D19" s="44">
        <f t="shared" ref="D19:F19" si="8">D20</f>
        <v>1800</v>
      </c>
      <c r="E19" s="44">
        <f t="shared" si="8"/>
        <v>1800</v>
      </c>
      <c r="F19" s="44">
        <f t="shared" si="8"/>
        <v>1800</v>
      </c>
      <c r="G19" s="45" t="e">
        <f t="shared" si="2"/>
        <v>#DIV/0!</v>
      </c>
      <c r="H19" s="45">
        <f t="shared" si="3"/>
        <v>100</v>
      </c>
    </row>
    <row r="20" spans="2:13" ht="42" customHeight="1" x14ac:dyDescent="0.2">
      <c r="B20" s="46" t="s">
        <v>150</v>
      </c>
      <c r="C20" s="43">
        <v>0</v>
      </c>
      <c r="D20" s="43">
        <f>+E20</f>
        <v>1800</v>
      </c>
      <c r="E20" s="43">
        <v>1800</v>
      </c>
      <c r="F20" s="43">
        <v>1800</v>
      </c>
      <c r="G20" s="38" t="e">
        <f t="shared" si="2"/>
        <v>#DIV/0!</v>
      </c>
      <c r="H20" s="38">
        <f t="shared" si="3"/>
        <v>100</v>
      </c>
    </row>
    <row r="21" spans="2:13" ht="19.5" customHeight="1" x14ac:dyDescent="0.2">
      <c r="B21" s="46"/>
      <c r="C21" s="43"/>
      <c r="D21" s="43"/>
      <c r="E21" s="43"/>
      <c r="F21" s="43"/>
      <c r="G21" s="38"/>
      <c r="H21" s="38"/>
    </row>
    <row r="22" spans="2:13" ht="15.75" customHeight="1" x14ac:dyDescent="0.2">
      <c r="B22" s="7" t="s">
        <v>42</v>
      </c>
      <c r="C22" s="36">
        <f>C23+C25+C27+C29+C33+C35</f>
        <v>490855.25</v>
      </c>
      <c r="D22" s="36">
        <f t="shared" ref="D22:E22" si="9">D23+D25+D27+D29+D33+D35</f>
        <v>870223</v>
      </c>
      <c r="E22" s="36">
        <f t="shared" si="9"/>
        <v>870223</v>
      </c>
      <c r="F22" s="36">
        <f>F23+F25+F27+F29+F33+F35</f>
        <v>913361.6399999999</v>
      </c>
      <c r="G22" s="45">
        <f>F22/C22*100</f>
        <v>186.07555689788381</v>
      </c>
      <c r="H22" s="45">
        <f>F22/E22*100</f>
        <v>104.95719373080232</v>
      </c>
      <c r="J22" s="83">
        <f>SAŽETAK!G22-'PiRashodi prema izvorima finan'!C22</f>
        <v>0</v>
      </c>
      <c r="K22" s="83">
        <f>SAŽETAK!H22-'PiRashodi prema izvorima finan'!D22</f>
        <v>0</v>
      </c>
      <c r="L22" s="83">
        <f>SAŽETAK!I22-'PiRashodi prema izvorima finan'!E22</f>
        <v>0</v>
      </c>
      <c r="M22" s="83">
        <f>SAŽETAK!J22-'PiRashodi prema izvorima finan'!F22</f>
        <v>0</v>
      </c>
    </row>
    <row r="23" spans="2:13" ht="15.75" customHeight="1" x14ac:dyDescent="0.2">
      <c r="B23" s="7" t="s">
        <v>14</v>
      </c>
      <c r="C23" s="51">
        <f>SUM(C24)</f>
        <v>371588.06</v>
      </c>
      <c r="D23" s="51">
        <f t="shared" ref="D23:E23" si="10">SUM(D24)</f>
        <v>590000</v>
      </c>
      <c r="E23" s="51">
        <f t="shared" si="10"/>
        <v>590000</v>
      </c>
      <c r="F23" s="51">
        <f>SUM(F24)</f>
        <v>556444.47</v>
      </c>
      <c r="G23" s="45">
        <f t="shared" ref="G23:G36" si="11">F23/C23*100</f>
        <v>149.74767219377284</v>
      </c>
      <c r="H23" s="45">
        <f t="shared" ref="H23:H36" si="12">F23/E23*100</f>
        <v>94.312622033898293</v>
      </c>
    </row>
    <row r="24" spans="2:13" x14ac:dyDescent="0.2">
      <c r="B24" s="13" t="s">
        <v>15</v>
      </c>
      <c r="C24" s="47">
        <v>371588.06</v>
      </c>
      <c r="D24" s="48">
        <f>+E24</f>
        <v>590000</v>
      </c>
      <c r="E24" s="48">
        <f>570000+20000</f>
        <v>590000</v>
      </c>
      <c r="F24" s="48">
        <f>536444.47+20000</f>
        <v>556444.47</v>
      </c>
      <c r="G24" s="45">
        <f t="shared" si="11"/>
        <v>149.74767219377284</v>
      </c>
      <c r="H24" s="45">
        <f t="shared" si="12"/>
        <v>94.312622033898293</v>
      </c>
      <c r="J24" s="132"/>
    </row>
    <row r="25" spans="2:13" x14ac:dyDescent="0.2">
      <c r="B25" s="7" t="s">
        <v>16</v>
      </c>
      <c r="C25" s="51">
        <f>SUM(C26)</f>
        <v>27847.040000000001</v>
      </c>
      <c r="D25" s="51">
        <f t="shared" ref="D25:E25" si="13">SUM(D26)</f>
        <v>47741</v>
      </c>
      <c r="E25" s="51">
        <f t="shared" si="13"/>
        <v>47741</v>
      </c>
      <c r="F25" s="51">
        <f>SUM(F26)</f>
        <v>44118.71</v>
      </c>
      <c r="G25" s="45">
        <f t="shared" si="11"/>
        <v>158.43231452965915</v>
      </c>
      <c r="H25" s="45">
        <f t="shared" si="12"/>
        <v>92.412622274355371</v>
      </c>
    </row>
    <row r="26" spans="2:13" x14ac:dyDescent="0.2">
      <c r="B26" s="14" t="s">
        <v>17</v>
      </c>
      <c r="C26" s="47">
        <v>27847.040000000001</v>
      </c>
      <c r="D26" s="48">
        <f>+E26</f>
        <v>47741</v>
      </c>
      <c r="E26" s="48">
        <v>47741</v>
      </c>
      <c r="F26" s="48">
        <v>44118.71</v>
      </c>
      <c r="G26" s="45">
        <f t="shared" si="11"/>
        <v>158.43231452965915</v>
      </c>
      <c r="H26" s="45">
        <f t="shared" si="12"/>
        <v>92.412622274355371</v>
      </c>
    </row>
    <row r="27" spans="2:13" x14ac:dyDescent="0.2">
      <c r="B27" s="7" t="s">
        <v>141</v>
      </c>
      <c r="C27" s="51">
        <f>C28</f>
        <v>3639.05</v>
      </c>
      <c r="D27" s="51">
        <f t="shared" ref="D27:E27" si="14">D28</f>
        <v>9164</v>
      </c>
      <c r="E27" s="51">
        <f t="shared" si="14"/>
        <v>9164</v>
      </c>
      <c r="F27" s="51">
        <f>F28</f>
        <v>8943.7099999999991</v>
      </c>
      <c r="G27" s="45">
        <f t="shared" si="11"/>
        <v>245.77046207114489</v>
      </c>
      <c r="H27" s="45">
        <f t="shared" si="12"/>
        <v>97.596137058053245</v>
      </c>
    </row>
    <row r="28" spans="2:13" x14ac:dyDescent="0.2">
      <c r="B28" s="46" t="s">
        <v>142</v>
      </c>
      <c r="C28" s="47">
        <v>3639.05</v>
      </c>
      <c r="D28" s="48">
        <f>+E28</f>
        <v>9164</v>
      </c>
      <c r="E28" s="48">
        <v>9164</v>
      </c>
      <c r="F28" s="48">
        <v>8943.7099999999991</v>
      </c>
      <c r="G28" s="45">
        <f t="shared" si="11"/>
        <v>245.77046207114489</v>
      </c>
      <c r="H28" s="45">
        <f t="shared" si="12"/>
        <v>97.596137058053245</v>
      </c>
    </row>
    <row r="29" spans="2:13" x14ac:dyDescent="0.2">
      <c r="B29" s="7" t="s">
        <v>143</v>
      </c>
      <c r="C29" s="51">
        <f>SUM(C30:C31)</f>
        <v>87281.1</v>
      </c>
      <c r="D29" s="51">
        <f t="shared" ref="D29:E29" si="15">SUM(D30:D31)</f>
        <v>216318</v>
      </c>
      <c r="E29" s="51">
        <f t="shared" si="15"/>
        <v>216318</v>
      </c>
      <c r="F29" s="51">
        <f>SUM(F30:F31)</f>
        <v>250635.75</v>
      </c>
      <c r="G29" s="45">
        <f t="shared" si="11"/>
        <v>287.1592475346896</v>
      </c>
      <c r="H29" s="45">
        <f t="shared" si="12"/>
        <v>115.8644911657837</v>
      </c>
    </row>
    <row r="30" spans="2:13" x14ac:dyDescent="0.2">
      <c r="B30" s="46" t="s">
        <v>144</v>
      </c>
      <c r="C30" s="47">
        <v>73027</v>
      </c>
      <c r="D30" s="48">
        <f>+E30</f>
        <v>183939</v>
      </c>
      <c r="E30" s="48">
        <v>183939</v>
      </c>
      <c r="F30" s="48">
        <v>218257.42</v>
      </c>
      <c r="G30" s="45">
        <f t="shared" si="11"/>
        <v>298.87222534131212</v>
      </c>
      <c r="H30" s="45">
        <f t="shared" si="12"/>
        <v>118.6575005844329</v>
      </c>
    </row>
    <row r="31" spans="2:13" x14ac:dyDescent="0.2">
      <c r="B31" s="46" t="s">
        <v>145</v>
      </c>
      <c r="C31" s="49">
        <v>14254.1</v>
      </c>
      <c r="D31" s="49">
        <f>+E31</f>
        <v>32379</v>
      </c>
      <c r="E31" s="49">
        <v>32379</v>
      </c>
      <c r="F31" s="49">
        <f>+F32</f>
        <v>32378.33</v>
      </c>
      <c r="G31" s="45">
        <f t="shared" si="11"/>
        <v>227.15099515227197</v>
      </c>
      <c r="H31" s="45">
        <f t="shared" si="12"/>
        <v>99.997930757589799</v>
      </c>
    </row>
    <row r="32" spans="2:13" ht="25.5" x14ac:dyDescent="0.2">
      <c r="B32" s="46" t="s">
        <v>146</v>
      </c>
      <c r="C32" s="49">
        <v>14254.1</v>
      </c>
      <c r="D32" s="50">
        <f>+E32</f>
        <v>0</v>
      </c>
      <c r="E32" s="50">
        <v>0</v>
      </c>
      <c r="F32" s="50">
        <v>32378.33</v>
      </c>
      <c r="G32" s="45">
        <f t="shared" si="11"/>
        <v>227.15099515227197</v>
      </c>
      <c r="H32" s="45" t="e">
        <f t="shared" si="12"/>
        <v>#DIV/0!</v>
      </c>
    </row>
    <row r="33" spans="2:11" ht="15" customHeight="1" x14ac:dyDescent="0.2">
      <c r="B33" s="7" t="s">
        <v>147</v>
      </c>
      <c r="C33" s="51">
        <f>C34</f>
        <v>500</v>
      </c>
      <c r="D33" s="51">
        <f t="shared" ref="D33:F33" si="16">D34</f>
        <v>5200</v>
      </c>
      <c r="E33" s="51">
        <f t="shared" si="16"/>
        <v>5200</v>
      </c>
      <c r="F33" s="51">
        <f t="shared" si="16"/>
        <v>51419</v>
      </c>
      <c r="G33" s="45">
        <f t="shared" si="11"/>
        <v>10283.799999999999</v>
      </c>
      <c r="H33" s="45">
        <f t="shared" si="12"/>
        <v>988.82692307692309</v>
      </c>
      <c r="I33" s="131"/>
      <c r="J33" s="79"/>
      <c r="K33" s="79"/>
    </row>
    <row r="34" spans="2:11" x14ac:dyDescent="0.2">
      <c r="B34" s="46" t="s">
        <v>148</v>
      </c>
      <c r="C34" s="47">
        <v>500</v>
      </c>
      <c r="D34" s="48">
        <f>+E34</f>
        <v>5200</v>
      </c>
      <c r="E34" s="48">
        <v>5200</v>
      </c>
      <c r="F34" s="48">
        <v>51419</v>
      </c>
      <c r="G34" s="45">
        <f t="shared" si="11"/>
        <v>10283.799999999999</v>
      </c>
      <c r="H34" s="45">
        <f t="shared" si="12"/>
        <v>988.82692307692309</v>
      </c>
      <c r="I34" s="133"/>
      <c r="J34" s="79"/>
      <c r="K34" s="79"/>
    </row>
    <row r="35" spans="2:11" ht="38.25" x14ac:dyDescent="0.2">
      <c r="B35" s="7" t="s">
        <v>149</v>
      </c>
      <c r="C35" s="51">
        <f>C36</f>
        <v>0</v>
      </c>
      <c r="D35" s="51">
        <f t="shared" ref="D35:F35" si="17">D36</f>
        <v>1800</v>
      </c>
      <c r="E35" s="51">
        <f t="shared" si="17"/>
        <v>1800</v>
      </c>
      <c r="F35" s="51">
        <f t="shared" si="17"/>
        <v>1800</v>
      </c>
      <c r="G35" s="45" t="e">
        <f t="shared" si="11"/>
        <v>#DIV/0!</v>
      </c>
      <c r="H35" s="45">
        <f t="shared" si="12"/>
        <v>100</v>
      </c>
      <c r="I35" s="131"/>
      <c r="J35" s="79"/>
      <c r="K35" s="79"/>
    </row>
    <row r="36" spans="2:11" ht="38.25" x14ac:dyDescent="0.2">
      <c r="B36" s="46" t="s">
        <v>150</v>
      </c>
      <c r="C36" s="47">
        <v>0</v>
      </c>
      <c r="D36" s="48">
        <f>+E36</f>
        <v>1800</v>
      </c>
      <c r="E36" s="48">
        <v>1800</v>
      </c>
      <c r="F36" s="48">
        <v>1800</v>
      </c>
      <c r="G36" s="45" t="e">
        <f t="shared" si="11"/>
        <v>#DIV/0!</v>
      </c>
      <c r="H36" s="45">
        <f t="shared" si="12"/>
        <v>100</v>
      </c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8"/>
  <sheetViews>
    <sheetView zoomScaleNormal="100" workbookViewId="0">
      <selection activeCell="F5" sqref="F5"/>
    </sheetView>
  </sheetViews>
  <sheetFormatPr defaultRowHeight="12.75" x14ac:dyDescent="0.2"/>
  <cols>
    <col min="1" max="1" width="9.140625" style="29"/>
    <col min="2" max="2" width="37.7109375" style="29" customWidth="1"/>
    <col min="3" max="6" width="25.28515625" style="29" customWidth="1"/>
    <col min="7" max="8" width="15.7109375" style="29" customWidth="1"/>
    <col min="9" max="16384" width="9.140625" style="29"/>
  </cols>
  <sheetData>
    <row r="1" spans="2:13" x14ac:dyDescent="0.2">
      <c r="B1" s="31"/>
      <c r="C1" s="31"/>
      <c r="D1" s="31"/>
      <c r="E1" s="31"/>
      <c r="F1" s="4"/>
      <c r="G1" s="4"/>
      <c r="H1" s="4"/>
    </row>
    <row r="2" spans="2:13" ht="15.75" customHeight="1" x14ac:dyDescent="0.2">
      <c r="B2" s="162" t="s">
        <v>35</v>
      </c>
      <c r="C2" s="162"/>
      <c r="D2" s="162"/>
      <c r="E2" s="162"/>
      <c r="F2" s="162"/>
      <c r="G2" s="162"/>
      <c r="H2" s="162"/>
    </row>
    <row r="3" spans="2:13" x14ac:dyDescent="0.2">
      <c r="B3" s="31"/>
      <c r="C3" s="31"/>
      <c r="D3" s="31"/>
      <c r="E3" s="31"/>
      <c r="F3" s="4"/>
      <c r="G3" s="4"/>
      <c r="H3" s="4"/>
    </row>
    <row r="4" spans="2:13" ht="25.5" x14ac:dyDescent="0.2">
      <c r="B4" s="20" t="s">
        <v>6</v>
      </c>
      <c r="C4" s="20" t="s">
        <v>271</v>
      </c>
      <c r="D4" s="20" t="s">
        <v>286</v>
      </c>
      <c r="E4" s="20" t="s">
        <v>287</v>
      </c>
      <c r="F4" s="20" t="s">
        <v>290</v>
      </c>
      <c r="G4" s="20" t="s">
        <v>18</v>
      </c>
      <c r="H4" s="20" t="s">
        <v>44</v>
      </c>
    </row>
    <row r="5" spans="2:13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13" ht="15.75" customHeight="1" x14ac:dyDescent="0.2">
      <c r="B6" s="7" t="s">
        <v>42</v>
      </c>
      <c r="C6" s="61">
        <f>SUM(C7)</f>
        <v>490855.25</v>
      </c>
      <c r="D6" s="61">
        <f t="shared" ref="D6:F7" si="0">SUM(D7)</f>
        <v>870223</v>
      </c>
      <c r="E6" s="61">
        <f t="shared" si="0"/>
        <v>870223</v>
      </c>
      <c r="F6" s="61">
        <f t="shared" si="0"/>
        <v>913361.64</v>
      </c>
      <c r="G6" s="80">
        <f>F6/C6*100</f>
        <v>186.07555689788384</v>
      </c>
      <c r="H6" s="80">
        <f>F6/E6*100</f>
        <v>104.95719373080235</v>
      </c>
      <c r="J6" s="83">
        <f>C6-SAŽETAK!G22</f>
        <v>0</v>
      </c>
      <c r="K6" s="83">
        <f>D6-SAŽETAK!H22</f>
        <v>0</v>
      </c>
      <c r="L6" s="83">
        <f>E6-SAŽETAK!I22</f>
        <v>0</v>
      </c>
      <c r="M6" s="83">
        <f>F6-SAŽETAK!J22</f>
        <v>0</v>
      </c>
    </row>
    <row r="7" spans="2:13" x14ac:dyDescent="0.2">
      <c r="B7" s="60" t="s">
        <v>230</v>
      </c>
      <c r="C7" s="62">
        <f>SUM(C8)</f>
        <v>490855.25</v>
      </c>
      <c r="D7" s="62">
        <f t="shared" si="0"/>
        <v>870223</v>
      </c>
      <c r="E7" s="62">
        <f t="shared" si="0"/>
        <v>870223</v>
      </c>
      <c r="F7" s="62">
        <f t="shared" si="0"/>
        <v>913361.64</v>
      </c>
      <c r="G7" s="63">
        <f t="shared" ref="G7:G8" si="1">F7/C7*100</f>
        <v>186.07555689788384</v>
      </c>
      <c r="H7" s="63">
        <f t="shared" ref="H7:H8" si="2">F7/E7*100</f>
        <v>104.95719373080235</v>
      </c>
    </row>
    <row r="8" spans="2:13" x14ac:dyDescent="0.2">
      <c r="B8" s="60" t="s">
        <v>229</v>
      </c>
      <c r="C8" s="62">
        <f>+SAŽETAK!G22</f>
        <v>490855.25</v>
      </c>
      <c r="D8" s="62">
        <f>+SAŽETAK!H22</f>
        <v>870223</v>
      </c>
      <c r="E8" s="62">
        <f>+SAŽETAK!I22</f>
        <v>870223</v>
      </c>
      <c r="F8" s="62">
        <f>+SAŽETAK!J22</f>
        <v>913361.64</v>
      </c>
      <c r="G8" s="63">
        <f t="shared" si="1"/>
        <v>186.07555689788384</v>
      </c>
      <c r="H8" s="63">
        <f t="shared" si="2"/>
        <v>104.95719373080235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4"/>
  <sheetViews>
    <sheetView topLeftCell="B1"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34" t="s">
        <v>10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34" t="s">
        <v>47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2:12" ht="15.75" customHeight="1" x14ac:dyDescent="0.25">
      <c r="B5" s="134" t="s">
        <v>36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59" t="s">
        <v>6</v>
      </c>
      <c r="C7" s="160"/>
      <c r="D7" s="160"/>
      <c r="E7" s="160"/>
      <c r="F7" s="161"/>
      <c r="G7" s="22" t="s">
        <v>263</v>
      </c>
      <c r="H7" s="22" t="s">
        <v>286</v>
      </c>
      <c r="I7" s="22" t="s">
        <v>287</v>
      </c>
      <c r="J7" s="22" t="s">
        <v>289</v>
      </c>
      <c r="K7" s="22" t="s">
        <v>18</v>
      </c>
      <c r="L7" s="22" t="s">
        <v>44</v>
      </c>
    </row>
    <row r="8" spans="2:12" x14ac:dyDescent="0.25">
      <c r="B8" s="159">
        <v>1</v>
      </c>
      <c r="C8" s="160"/>
      <c r="D8" s="160"/>
      <c r="E8" s="160"/>
      <c r="F8" s="161"/>
      <c r="G8" s="23">
        <v>2</v>
      </c>
      <c r="H8" s="23">
        <v>3</v>
      </c>
      <c r="I8" s="23">
        <v>4</v>
      </c>
      <c r="J8" s="23">
        <v>5</v>
      </c>
      <c r="K8" s="23" t="s">
        <v>31</v>
      </c>
      <c r="L8" s="23" t="s">
        <v>32</v>
      </c>
    </row>
    <row r="9" spans="2:12" ht="25.5" x14ac:dyDescent="0.25">
      <c r="B9" s="7">
        <v>8</v>
      </c>
      <c r="C9" s="7"/>
      <c r="D9" s="7"/>
      <c r="E9" s="7"/>
      <c r="F9" s="7" t="s">
        <v>7</v>
      </c>
      <c r="G9" s="39">
        <v>0</v>
      </c>
      <c r="H9" s="39">
        <v>0</v>
      </c>
      <c r="I9" s="39">
        <v>0</v>
      </c>
      <c r="J9" s="40">
        <v>0</v>
      </c>
      <c r="K9" s="40">
        <v>0</v>
      </c>
      <c r="L9" s="40">
        <v>0</v>
      </c>
    </row>
    <row r="10" spans="2:12" ht="25.5" x14ac:dyDescent="0.25">
      <c r="B10" s="8">
        <v>5</v>
      </c>
      <c r="C10" s="8"/>
      <c r="D10" s="8"/>
      <c r="E10" s="8"/>
      <c r="F10" s="10" t="s">
        <v>8</v>
      </c>
      <c r="G10" s="5">
        <v>0</v>
      </c>
      <c r="H10" s="5">
        <v>0</v>
      </c>
      <c r="I10" s="5">
        <v>0</v>
      </c>
      <c r="J10" s="18">
        <v>0</v>
      </c>
      <c r="K10" s="18">
        <v>0</v>
      </c>
      <c r="L10" s="18">
        <v>0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2:12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2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"/>
  <sheetViews>
    <sheetView workbookViewId="0">
      <selection activeCell="F5" sqref="F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34" t="s">
        <v>37</v>
      </c>
      <c r="C2" s="134"/>
      <c r="D2" s="134"/>
      <c r="E2" s="134"/>
      <c r="F2" s="134"/>
      <c r="G2" s="134"/>
      <c r="H2" s="13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0" t="s">
        <v>6</v>
      </c>
      <c r="C4" s="20" t="s">
        <v>262</v>
      </c>
      <c r="D4" s="20" t="s">
        <v>286</v>
      </c>
      <c r="E4" s="20" t="s">
        <v>287</v>
      </c>
      <c r="F4" s="20" t="s">
        <v>291</v>
      </c>
      <c r="G4" s="20" t="s">
        <v>18</v>
      </c>
      <c r="H4" s="20" t="s">
        <v>44</v>
      </c>
    </row>
    <row r="5" spans="2:8" x14ac:dyDescent="0.25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31</v>
      </c>
      <c r="H5" s="20" t="s">
        <v>32</v>
      </c>
    </row>
    <row r="6" spans="2:8" x14ac:dyDescent="0.25">
      <c r="B6" s="7" t="s">
        <v>39</v>
      </c>
      <c r="C6" s="5">
        <v>0</v>
      </c>
      <c r="D6" s="5">
        <v>0</v>
      </c>
      <c r="E6" s="6">
        <v>0</v>
      </c>
      <c r="F6" s="18">
        <v>0</v>
      </c>
      <c r="G6" s="18">
        <v>0</v>
      </c>
      <c r="H6" s="18">
        <v>0</v>
      </c>
    </row>
    <row r="7" spans="2:8" ht="15.75" customHeight="1" x14ac:dyDescent="0.25">
      <c r="B7" s="7" t="s">
        <v>40</v>
      </c>
      <c r="C7" s="5">
        <v>0</v>
      </c>
      <c r="D7" s="5">
        <v>0</v>
      </c>
      <c r="E7" s="6">
        <v>0</v>
      </c>
      <c r="F7" s="18">
        <v>0</v>
      </c>
      <c r="G7" s="18">
        <v>0</v>
      </c>
      <c r="H7" s="18">
        <v>0</v>
      </c>
    </row>
    <row r="9" spans="2:8" x14ac:dyDescent="0.25">
      <c r="B9" s="25"/>
      <c r="C9" s="25"/>
      <c r="D9" s="25"/>
      <c r="E9" s="25"/>
      <c r="F9" s="25"/>
      <c r="G9" s="25"/>
      <c r="H9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24"/>
  <sheetViews>
    <sheetView topLeftCell="A19" zoomScaleNormal="100" workbookViewId="0">
      <selection activeCell="F63" sqref="E63:F63"/>
    </sheetView>
  </sheetViews>
  <sheetFormatPr defaultRowHeight="12.75" x14ac:dyDescent="0.2"/>
  <cols>
    <col min="1" max="1" width="9.140625" style="29"/>
    <col min="2" max="2" width="7.42578125" style="29" bestFit="1" customWidth="1"/>
    <col min="3" max="3" width="8.140625" style="29" customWidth="1"/>
    <col min="4" max="4" width="51.42578125" style="29" customWidth="1"/>
    <col min="5" max="7" width="24.28515625" style="29" customWidth="1"/>
    <col min="8" max="8" width="15.7109375" style="29" customWidth="1"/>
    <col min="9" max="9" width="9.140625" style="29"/>
    <col min="10" max="10" width="11.28515625" style="29" bestFit="1" customWidth="1"/>
    <col min="11" max="16384" width="9.140625" style="29"/>
  </cols>
  <sheetData>
    <row r="1" spans="2:12" x14ac:dyDescent="0.2">
      <c r="B1" s="32"/>
      <c r="C1" s="32"/>
      <c r="D1" s="32"/>
      <c r="E1" s="32"/>
      <c r="F1" s="32"/>
      <c r="G1" s="32"/>
      <c r="H1" s="4"/>
    </row>
    <row r="2" spans="2:12" ht="18" customHeight="1" x14ac:dyDescent="0.2">
      <c r="B2" s="134" t="s">
        <v>9</v>
      </c>
      <c r="C2" s="134"/>
      <c r="D2" s="134"/>
      <c r="E2" s="134"/>
      <c r="F2" s="134"/>
      <c r="G2" s="134"/>
      <c r="H2" s="134"/>
    </row>
    <row r="3" spans="2:12" ht="15.75" x14ac:dyDescent="0.2">
      <c r="B3" s="24"/>
      <c r="C3" s="24"/>
      <c r="D3" s="24"/>
      <c r="E3" s="24"/>
      <c r="F3" s="24"/>
      <c r="G3" s="24"/>
      <c r="H3" s="16"/>
    </row>
    <row r="4" spans="2:12" ht="15.75" x14ac:dyDescent="0.25">
      <c r="B4" s="187" t="s">
        <v>49</v>
      </c>
      <c r="C4" s="187"/>
      <c r="D4" s="187"/>
      <c r="E4" s="187"/>
      <c r="F4" s="187"/>
      <c r="G4" s="187"/>
      <c r="H4" s="187"/>
    </row>
    <row r="5" spans="2:12" x14ac:dyDescent="0.2">
      <c r="B5" s="32"/>
      <c r="C5" s="32"/>
      <c r="D5" s="32"/>
      <c r="E5" s="32"/>
      <c r="F5" s="32"/>
      <c r="G5" s="32"/>
      <c r="H5" s="4"/>
    </row>
    <row r="6" spans="2:12" ht="25.5" x14ac:dyDescent="0.2">
      <c r="B6" s="188" t="s">
        <v>6</v>
      </c>
      <c r="C6" s="189"/>
      <c r="D6" s="190"/>
      <c r="E6" s="69" t="s">
        <v>286</v>
      </c>
      <c r="F6" s="69" t="s">
        <v>287</v>
      </c>
      <c r="G6" s="69" t="s">
        <v>290</v>
      </c>
      <c r="H6" s="69" t="s">
        <v>44</v>
      </c>
    </row>
    <row r="7" spans="2:12" x14ac:dyDescent="0.2">
      <c r="B7" s="188">
        <v>1</v>
      </c>
      <c r="C7" s="189"/>
      <c r="D7" s="190"/>
      <c r="E7" s="69">
        <v>2</v>
      </c>
      <c r="F7" s="69">
        <v>3</v>
      </c>
      <c r="G7" s="69">
        <v>4</v>
      </c>
      <c r="H7" s="69" t="s">
        <v>38</v>
      </c>
    </row>
    <row r="8" spans="2:12" ht="15" x14ac:dyDescent="0.2">
      <c r="B8" s="195">
        <v>7715</v>
      </c>
      <c r="C8" s="196"/>
      <c r="D8" s="81" t="s">
        <v>252</v>
      </c>
      <c r="E8" s="52">
        <f>E9</f>
        <v>870223</v>
      </c>
      <c r="F8" s="52">
        <f>F9</f>
        <v>870223</v>
      </c>
      <c r="G8" s="52">
        <f>G9</f>
        <v>913361.6399999999</v>
      </c>
      <c r="H8" s="52">
        <f>H9</f>
        <v>104.95719373080232</v>
      </c>
      <c r="J8" s="83">
        <f>SAŽETAK!H22-E8</f>
        <v>0</v>
      </c>
      <c r="K8" s="83">
        <f>SAŽETAK!I22-F8</f>
        <v>0</v>
      </c>
      <c r="L8" s="83">
        <f>SAŽETAK!J22-G8</f>
        <v>0</v>
      </c>
    </row>
    <row r="9" spans="2:12" ht="28.5" customHeight="1" x14ac:dyDescent="0.2">
      <c r="B9" s="191">
        <v>26539</v>
      </c>
      <c r="C9" s="197"/>
      <c r="D9" s="68" t="s">
        <v>259</v>
      </c>
      <c r="E9" s="41">
        <f>E10+E12+E14+E16+E19+E21</f>
        <v>870223</v>
      </c>
      <c r="F9" s="41">
        <f>F10+F12+F14+F16+F19+F21</f>
        <v>870223</v>
      </c>
      <c r="G9" s="41">
        <f t="shared" ref="G9" si="0">G10+G12+G14+G16+G19+G21</f>
        <v>913361.6399999999</v>
      </c>
      <c r="H9" s="42">
        <f>G9/F9*100</f>
        <v>104.95719373080232</v>
      </c>
      <c r="J9" s="83"/>
    </row>
    <row r="10" spans="2:12" ht="15.75" customHeight="1" x14ac:dyDescent="0.2">
      <c r="B10" s="185" t="s">
        <v>231</v>
      </c>
      <c r="C10" s="186"/>
      <c r="D10" s="68" t="s">
        <v>232</v>
      </c>
      <c r="E10" s="41">
        <f t="shared" ref="E10:G10" si="1">E11</f>
        <v>590000</v>
      </c>
      <c r="F10" s="41">
        <f t="shared" si="1"/>
        <v>590000</v>
      </c>
      <c r="G10" s="41">
        <f t="shared" si="1"/>
        <v>556444.47</v>
      </c>
      <c r="H10" s="42">
        <f t="shared" ref="H10:H74" si="2">G10/F10*100</f>
        <v>94.312622033898293</v>
      </c>
      <c r="J10" s="124"/>
    </row>
    <row r="11" spans="2:12" ht="15.75" customHeight="1" x14ac:dyDescent="0.2">
      <c r="B11" s="175" t="s">
        <v>233</v>
      </c>
      <c r="C11" s="176"/>
      <c r="D11" s="66" t="s">
        <v>248</v>
      </c>
      <c r="E11" s="64">
        <f>E27+E58</f>
        <v>590000</v>
      </c>
      <c r="F11" s="64">
        <f t="shared" ref="F11" si="3">F27+F58</f>
        <v>590000</v>
      </c>
      <c r="G11" s="64">
        <f>536444.47+20000</f>
        <v>556444.47</v>
      </c>
      <c r="H11" s="65">
        <f t="shared" si="2"/>
        <v>94.312622033898293</v>
      </c>
      <c r="J11" s="83"/>
    </row>
    <row r="12" spans="2:12" ht="15.75" customHeight="1" x14ac:dyDescent="0.2">
      <c r="B12" s="191" t="s">
        <v>235</v>
      </c>
      <c r="C12" s="192"/>
      <c r="D12" s="68" t="s">
        <v>234</v>
      </c>
      <c r="E12" s="41">
        <f>E13</f>
        <v>47741</v>
      </c>
      <c r="F12" s="41">
        <f>F13</f>
        <v>47741</v>
      </c>
      <c r="G12" s="41">
        <f>G13</f>
        <v>44118.71</v>
      </c>
      <c r="H12" s="42">
        <f t="shared" si="2"/>
        <v>92.412622274355371</v>
      </c>
    </row>
    <row r="13" spans="2:12" ht="15.75" customHeight="1" x14ac:dyDescent="0.2">
      <c r="B13" s="193" t="s">
        <v>236</v>
      </c>
      <c r="C13" s="194"/>
      <c r="D13" s="71" t="s">
        <v>234</v>
      </c>
      <c r="E13" s="64">
        <f>E64</f>
        <v>47741</v>
      </c>
      <c r="F13" s="64">
        <f>F64</f>
        <v>47741</v>
      </c>
      <c r="G13" s="64">
        <v>44118.71</v>
      </c>
      <c r="H13" s="65">
        <f t="shared" si="2"/>
        <v>92.412622274355371</v>
      </c>
    </row>
    <row r="14" spans="2:12" ht="16.5" customHeight="1" x14ac:dyDescent="0.2">
      <c r="B14" s="191" t="s">
        <v>237</v>
      </c>
      <c r="C14" s="192"/>
      <c r="D14" s="7" t="s">
        <v>141</v>
      </c>
      <c r="E14" s="41">
        <f t="shared" ref="E14:G14" si="4">E15</f>
        <v>9164</v>
      </c>
      <c r="F14" s="41">
        <f t="shared" si="4"/>
        <v>9164</v>
      </c>
      <c r="G14" s="41">
        <f t="shared" si="4"/>
        <v>8943.7099999999991</v>
      </c>
      <c r="H14" s="42">
        <f t="shared" si="2"/>
        <v>97.596137058053245</v>
      </c>
    </row>
    <row r="15" spans="2:12" ht="15.75" customHeight="1" x14ac:dyDescent="0.2">
      <c r="B15" s="193" t="s">
        <v>260</v>
      </c>
      <c r="C15" s="194"/>
      <c r="D15" s="9" t="s">
        <v>249</v>
      </c>
      <c r="E15" s="64">
        <f>E83</f>
        <v>9164</v>
      </c>
      <c r="F15" s="64">
        <f t="shared" ref="F15" si="5">F83</f>
        <v>9164</v>
      </c>
      <c r="G15" s="64">
        <v>8943.7099999999991</v>
      </c>
      <c r="H15" s="65">
        <f t="shared" si="2"/>
        <v>97.596137058053245</v>
      </c>
    </row>
    <row r="16" spans="2:12" ht="15.75" customHeight="1" x14ac:dyDescent="0.2">
      <c r="B16" s="191" t="s">
        <v>238</v>
      </c>
      <c r="C16" s="192"/>
      <c r="D16" s="68" t="s">
        <v>244</v>
      </c>
      <c r="E16" s="41">
        <f>E17+E18</f>
        <v>216318</v>
      </c>
      <c r="F16" s="41">
        <f>F17+F18</f>
        <v>216318</v>
      </c>
      <c r="G16" s="41">
        <f>G17+G18</f>
        <v>250635.75</v>
      </c>
      <c r="H16" s="42">
        <f t="shared" si="2"/>
        <v>115.8644911657837</v>
      </c>
    </row>
    <row r="17" spans="2:10" ht="15.75" customHeight="1" x14ac:dyDescent="0.2">
      <c r="B17" s="193" t="s">
        <v>239</v>
      </c>
      <c r="C17" s="194"/>
      <c r="D17" s="66" t="s">
        <v>250</v>
      </c>
      <c r="E17" s="64">
        <f>E90</f>
        <v>183939</v>
      </c>
      <c r="F17" s="64">
        <f>F90</f>
        <v>183939</v>
      </c>
      <c r="G17" s="64">
        <v>218257.42</v>
      </c>
      <c r="H17" s="65">
        <f t="shared" si="2"/>
        <v>118.6575005844329</v>
      </c>
    </row>
    <row r="18" spans="2:10" ht="15.75" customHeight="1" x14ac:dyDescent="0.2">
      <c r="B18" s="193" t="s">
        <v>277</v>
      </c>
      <c r="C18" s="194"/>
      <c r="D18" s="66" t="s">
        <v>278</v>
      </c>
      <c r="E18" s="64">
        <f>E122</f>
        <v>32379</v>
      </c>
      <c r="F18" s="64">
        <f>F122</f>
        <v>32379</v>
      </c>
      <c r="G18" s="64">
        <v>32378.33</v>
      </c>
      <c r="H18" s="65">
        <f t="shared" ref="H18" si="6">G18/F18*100</f>
        <v>99.997930757589799</v>
      </c>
    </row>
    <row r="19" spans="2:10" ht="15.75" customHeight="1" x14ac:dyDescent="0.2">
      <c r="B19" s="185" t="s">
        <v>240</v>
      </c>
      <c r="C19" s="186"/>
      <c r="D19" s="68" t="s">
        <v>245</v>
      </c>
      <c r="E19" s="41">
        <f>E20</f>
        <v>5200</v>
      </c>
      <c r="F19" s="41">
        <f>F20</f>
        <v>5200</v>
      </c>
      <c r="G19" s="41">
        <f>G20</f>
        <v>51419</v>
      </c>
      <c r="H19" s="42">
        <f t="shared" si="2"/>
        <v>988.82692307692309</v>
      </c>
    </row>
    <row r="20" spans="2:10" ht="15.75" customHeight="1" x14ac:dyDescent="0.2">
      <c r="B20" s="175" t="s">
        <v>241</v>
      </c>
      <c r="C20" s="176"/>
      <c r="D20" s="66" t="s">
        <v>251</v>
      </c>
      <c r="E20" s="64">
        <f>+E109</f>
        <v>5200</v>
      </c>
      <c r="F20" s="64">
        <f>+F109</f>
        <v>5200</v>
      </c>
      <c r="G20" s="64">
        <v>51419</v>
      </c>
      <c r="H20" s="65">
        <f t="shared" si="2"/>
        <v>988.82692307692309</v>
      </c>
    </row>
    <row r="21" spans="2:10" ht="15.75" customHeight="1" x14ac:dyDescent="0.2">
      <c r="B21" s="173" t="s">
        <v>242</v>
      </c>
      <c r="C21" s="174"/>
      <c r="D21" s="67" t="s">
        <v>246</v>
      </c>
      <c r="E21" s="41">
        <f>E22</f>
        <v>1800</v>
      </c>
      <c r="F21" s="41">
        <f t="shared" ref="F21:G21" si="7">F22</f>
        <v>1800</v>
      </c>
      <c r="G21" s="41">
        <f t="shared" si="7"/>
        <v>1800</v>
      </c>
      <c r="H21" s="42">
        <f t="shared" si="2"/>
        <v>100</v>
      </c>
    </row>
    <row r="22" spans="2:10" ht="15.75" customHeight="1" x14ac:dyDescent="0.2">
      <c r="B22" s="175" t="s">
        <v>243</v>
      </c>
      <c r="C22" s="176"/>
      <c r="D22" s="70" t="s">
        <v>246</v>
      </c>
      <c r="E22" s="64">
        <f>+E117</f>
        <v>1800</v>
      </c>
      <c r="F22" s="64">
        <f>+E117</f>
        <v>1800</v>
      </c>
      <c r="G22" s="64">
        <v>1800</v>
      </c>
      <c r="H22" s="65">
        <f t="shared" si="2"/>
        <v>100</v>
      </c>
    </row>
    <row r="23" spans="2:10" ht="15.75" customHeight="1" x14ac:dyDescent="0.25">
      <c r="B23" s="163" t="s">
        <v>247</v>
      </c>
      <c r="C23" s="177"/>
      <c r="D23" s="178"/>
      <c r="E23" s="72">
        <f>+E24</f>
        <v>590000</v>
      </c>
      <c r="F23" s="72">
        <f>F24</f>
        <v>590000</v>
      </c>
      <c r="G23" s="72">
        <f>G24</f>
        <v>556444.47</v>
      </c>
      <c r="H23" s="42">
        <f t="shared" si="2"/>
        <v>94.312622033898293</v>
      </c>
    </row>
    <row r="24" spans="2:10" ht="14.25" customHeight="1" x14ac:dyDescent="0.2">
      <c r="B24" s="163" t="s">
        <v>98</v>
      </c>
      <c r="C24" s="179"/>
      <c r="D24" s="180"/>
      <c r="E24" s="41">
        <f>E25+E56</f>
        <v>590000</v>
      </c>
      <c r="F24" s="41">
        <f t="shared" ref="F24:G24" si="8">F25+F56</f>
        <v>590000</v>
      </c>
      <c r="G24" s="41">
        <f t="shared" si="8"/>
        <v>556444.47</v>
      </c>
      <c r="H24" s="42">
        <f t="shared" si="2"/>
        <v>94.312622033898293</v>
      </c>
    </row>
    <row r="25" spans="2:10" ht="15.75" customHeight="1" x14ac:dyDescent="0.2">
      <c r="B25" s="181" t="s">
        <v>99</v>
      </c>
      <c r="C25" s="182"/>
      <c r="D25" s="183"/>
      <c r="E25" s="73">
        <f>+E26</f>
        <v>570000</v>
      </c>
      <c r="F25" s="73">
        <f>+F26</f>
        <v>570000</v>
      </c>
      <c r="G25" s="73">
        <f>+G26</f>
        <v>536444.47</v>
      </c>
      <c r="H25" s="74">
        <f t="shared" si="2"/>
        <v>94.113064912280691</v>
      </c>
      <c r="J25" s="83"/>
    </row>
    <row r="26" spans="2:10" ht="15.75" customHeight="1" x14ac:dyDescent="0.2">
      <c r="B26" s="163" t="s">
        <v>100</v>
      </c>
      <c r="C26" s="184"/>
      <c r="D26" s="165"/>
      <c r="E26" s="41">
        <f>+E27</f>
        <v>570000</v>
      </c>
      <c r="F26" s="41">
        <f t="shared" ref="F26:G26" si="9">+F27</f>
        <v>570000</v>
      </c>
      <c r="G26" s="41">
        <f t="shared" si="9"/>
        <v>536444.47</v>
      </c>
      <c r="H26" s="42">
        <f t="shared" si="2"/>
        <v>94.113064912280691</v>
      </c>
      <c r="J26" s="83">
        <f>G8-G25-G56-G62-G120</f>
        <v>-1.0186340659856796E-10</v>
      </c>
    </row>
    <row r="27" spans="2:10" ht="15.75" customHeight="1" x14ac:dyDescent="0.2">
      <c r="B27" s="163" t="s">
        <v>101</v>
      </c>
      <c r="C27" s="184"/>
      <c r="D27" s="165"/>
      <c r="E27" s="41">
        <f>E28+E32+E54</f>
        <v>570000</v>
      </c>
      <c r="F27" s="41">
        <f t="shared" ref="F27:G27" si="10">F28+F32+F54</f>
        <v>570000</v>
      </c>
      <c r="G27" s="41">
        <f t="shared" si="10"/>
        <v>536444.47</v>
      </c>
      <c r="H27" s="42">
        <f t="shared" si="2"/>
        <v>94.113064912280691</v>
      </c>
    </row>
    <row r="28" spans="2:10" ht="15.75" customHeight="1" x14ac:dyDescent="0.2">
      <c r="B28" s="163" t="s">
        <v>102</v>
      </c>
      <c r="C28" s="184"/>
      <c r="D28" s="165"/>
      <c r="E28" s="41">
        <f>E29+E30+E31</f>
        <v>412000</v>
      </c>
      <c r="F28" s="41">
        <f t="shared" ref="F28:G28" si="11">F29+F30+F31</f>
        <v>412000</v>
      </c>
      <c r="G28" s="41">
        <f t="shared" si="11"/>
        <v>383187.95</v>
      </c>
      <c r="H28" s="42">
        <f t="shared" si="2"/>
        <v>93.006783980582526</v>
      </c>
    </row>
    <row r="29" spans="2:10" ht="15.75" customHeight="1" x14ac:dyDescent="0.2">
      <c r="B29" s="166" t="s">
        <v>103</v>
      </c>
      <c r="C29" s="171"/>
      <c r="D29" s="172"/>
      <c r="E29" s="64">
        <f>+F29</f>
        <v>342745</v>
      </c>
      <c r="F29" s="64">
        <v>342745</v>
      </c>
      <c r="G29" s="64">
        <v>319618.77</v>
      </c>
      <c r="H29" s="65">
        <f t="shared" si="2"/>
        <v>93.252642635195272</v>
      </c>
    </row>
    <row r="30" spans="2:10" ht="15.75" customHeight="1" x14ac:dyDescent="0.2">
      <c r="B30" s="166" t="s">
        <v>104</v>
      </c>
      <c r="C30" s="171"/>
      <c r="D30" s="172"/>
      <c r="E30" s="64">
        <f>+F30</f>
        <v>12000</v>
      </c>
      <c r="F30" s="64">
        <v>12000</v>
      </c>
      <c r="G30" s="64">
        <f>5907.86+1324.32+3600</f>
        <v>10832.18</v>
      </c>
      <c r="H30" s="65">
        <f t="shared" si="2"/>
        <v>90.268166666666673</v>
      </c>
    </row>
    <row r="31" spans="2:10" ht="15.75" customHeight="1" x14ac:dyDescent="0.2">
      <c r="B31" s="166" t="s">
        <v>105</v>
      </c>
      <c r="C31" s="171"/>
      <c r="D31" s="172"/>
      <c r="E31" s="64">
        <f>+F31</f>
        <v>57255</v>
      </c>
      <c r="F31" s="64">
        <v>57255</v>
      </c>
      <c r="G31" s="64">
        <v>52737</v>
      </c>
      <c r="H31" s="65">
        <f t="shared" si="2"/>
        <v>92.108986114749797</v>
      </c>
    </row>
    <row r="32" spans="2:10" ht="15.75" customHeight="1" x14ac:dyDescent="0.2">
      <c r="B32" s="163" t="s">
        <v>106</v>
      </c>
      <c r="C32" s="164"/>
      <c r="D32" s="165"/>
      <c r="E32" s="41">
        <f>E33+E34+E35+E36+E37+E38+E39+E40+E41+E42+E43+E44+E45+E46+E47+E48+E49+E50+E51+E52+E53</f>
        <v>156000</v>
      </c>
      <c r="F32" s="41">
        <f t="shared" ref="F32:G32" si="12">F33+F34+F35+F36+F37+F38+F39+F40+F41+F42+F43+F44+F45+F46+F47+F48+F49+F50+F51+F52+F53</f>
        <v>156000</v>
      </c>
      <c r="G32" s="41">
        <f t="shared" si="12"/>
        <v>151256.52000000002</v>
      </c>
      <c r="H32" s="42">
        <f t="shared" si="2"/>
        <v>96.959307692307704</v>
      </c>
    </row>
    <row r="33" spans="2:8" ht="15.75" customHeight="1" x14ac:dyDescent="0.2">
      <c r="B33" s="166" t="s">
        <v>107</v>
      </c>
      <c r="C33" s="167"/>
      <c r="D33" s="168"/>
      <c r="E33" s="64">
        <f>+F33</f>
        <v>3000</v>
      </c>
      <c r="F33" s="64">
        <v>3000</v>
      </c>
      <c r="G33" s="64">
        <v>3000</v>
      </c>
      <c r="H33" s="65">
        <f t="shared" si="2"/>
        <v>100</v>
      </c>
    </row>
    <row r="34" spans="2:8" ht="15.75" customHeight="1" x14ac:dyDescent="0.2">
      <c r="B34" s="166" t="s">
        <v>108</v>
      </c>
      <c r="C34" s="167"/>
      <c r="D34" s="168"/>
      <c r="E34" s="64">
        <f t="shared" ref="E34:E53" si="13">+F34</f>
        <v>20000</v>
      </c>
      <c r="F34" s="64">
        <v>20000</v>
      </c>
      <c r="G34" s="64">
        <v>15256.52</v>
      </c>
      <c r="H34" s="65">
        <f t="shared" si="2"/>
        <v>76.282600000000002</v>
      </c>
    </row>
    <row r="35" spans="2:8" ht="15.75" customHeight="1" x14ac:dyDescent="0.2">
      <c r="B35" s="166" t="s">
        <v>109</v>
      </c>
      <c r="C35" s="167"/>
      <c r="D35" s="168"/>
      <c r="E35" s="64">
        <f t="shared" si="13"/>
        <v>1000</v>
      </c>
      <c r="F35" s="64">
        <v>1000</v>
      </c>
      <c r="G35" s="64">
        <v>1000</v>
      </c>
      <c r="H35" s="65">
        <f t="shared" si="2"/>
        <v>100</v>
      </c>
    </row>
    <row r="36" spans="2:8" ht="15.75" customHeight="1" x14ac:dyDescent="0.2">
      <c r="B36" s="166" t="s">
        <v>110</v>
      </c>
      <c r="C36" s="167"/>
      <c r="D36" s="168"/>
      <c r="E36" s="64">
        <f t="shared" si="13"/>
        <v>4300</v>
      </c>
      <c r="F36" s="64">
        <v>4300</v>
      </c>
      <c r="G36" s="64">
        <v>4300</v>
      </c>
      <c r="H36" s="65">
        <f t="shared" si="2"/>
        <v>100</v>
      </c>
    </row>
    <row r="37" spans="2:8" ht="15.75" customHeight="1" x14ac:dyDescent="0.2">
      <c r="B37" s="166" t="s">
        <v>111</v>
      </c>
      <c r="C37" s="167"/>
      <c r="D37" s="168"/>
      <c r="E37" s="64">
        <f t="shared" si="13"/>
        <v>34000</v>
      </c>
      <c r="F37" s="64">
        <v>34000</v>
      </c>
      <c r="G37" s="64">
        <f>25500+8500</f>
        <v>34000</v>
      </c>
      <c r="H37" s="65">
        <f t="shared" si="2"/>
        <v>100</v>
      </c>
    </row>
    <row r="38" spans="2:8" ht="15.75" customHeight="1" x14ac:dyDescent="0.2">
      <c r="B38" s="166" t="s">
        <v>112</v>
      </c>
      <c r="C38" s="167"/>
      <c r="D38" s="168"/>
      <c r="E38" s="64">
        <f t="shared" si="13"/>
        <v>5000</v>
      </c>
      <c r="F38" s="64">
        <v>5000</v>
      </c>
      <c r="G38" s="64">
        <v>5000</v>
      </c>
      <c r="H38" s="65">
        <f t="shared" si="2"/>
        <v>100</v>
      </c>
    </row>
    <row r="39" spans="2:8" ht="15.75" customHeight="1" x14ac:dyDescent="0.2">
      <c r="B39" s="166" t="s">
        <v>113</v>
      </c>
      <c r="C39" s="167"/>
      <c r="D39" s="168"/>
      <c r="E39" s="64">
        <f t="shared" si="13"/>
        <v>5000</v>
      </c>
      <c r="F39" s="64">
        <v>5000</v>
      </c>
      <c r="G39" s="64">
        <v>5000</v>
      </c>
      <c r="H39" s="65">
        <f t="shared" si="2"/>
        <v>100</v>
      </c>
    </row>
    <row r="40" spans="2:8" ht="15.75" customHeight="1" x14ac:dyDescent="0.2">
      <c r="B40" s="166" t="s">
        <v>114</v>
      </c>
      <c r="C40" s="167"/>
      <c r="D40" s="168"/>
      <c r="E40" s="64">
        <f t="shared" si="13"/>
        <v>3000</v>
      </c>
      <c r="F40" s="64">
        <v>3000</v>
      </c>
      <c r="G40" s="64">
        <v>3000</v>
      </c>
      <c r="H40" s="65">
        <f t="shared" si="2"/>
        <v>100</v>
      </c>
    </row>
    <row r="41" spans="2:8" ht="15.75" customHeight="1" x14ac:dyDescent="0.2">
      <c r="B41" s="166" t="s">
        <v>115</v>
      </c>
      <c r="C41" s="167"/>
      <c r="D41" s="168"/>
      <c r="E41" s="64">
        <f t="shared" si="13"/>
        <v>7000</v>
      </c>
      <c r="F41" s="64">
        <v>7000</v>
      </c>
      <c r="G41" s="64">
        <v>7000</v>
      </c>
      <c r="H41" s="65">
        <f t="shared" si="2"/>
        <v>100</v>
      </c>
    </row>
    <row r="42" spans="2:8" ht="15.75" customHeight="1" x14ac:dyDescent="0.2">
      <c r="B42" s="166" t="s">
        <v>116</v>
      </c>
      <c r="C42" s="167"/>
      <c r="D42" s="168"/>
      <c r="E42" s="64">
        <f t="shared" si="13"/>
        <v>19000</v>
      </c>
      <c r="F42" s="64">
        <v>19000</v>
      </c>
      <c r="G42" s="64">
        <v>19000</v>
      </c>
      <c r="H42" s="65">
        <f t="shared" si="2"/>
        <v>100</v>
      </c>
    </row>
    <row r="43" spans="2:8" ht="15.75" customHeight="1" x14ac:dyDescent="0.2">
      <c r="B43" s="166" t="s">
        <v>117</v>
      </c>
      <c r="C43" s="167"/>
      <c r="D43" s="168"/>
      <c r="E43" s="64">
        <f t="shared" si="13"/>
        <v>5000</v>
      </c>
      <c r="F43" s="64">
        <v>5000</v>
      </c>
      <c r="G43" s="64">
        <v>5000</v>
      </c>
      <c r="H43" s="65">
        <f t="shared" si="2"/>
        <v>100</v>
      </c>
    </row>
    <row r="44" spans="2:8" ht="15.75" customHeight="1" x14ac:dyDescent="0.2">
      <c r="B44" s="166" t="s">
        <v>118</v>
      </c>
      <c r="C44" s="167"/>
      <c r="D44" s="168"/>
      <c r="E44" s="64">
        <f t="shared" si="13"/>
        <v>2000</v>
      </c>
      <c r="F44" s="64">
        <v>2000</v>
      </c>
      <c r="G44" s="64">
        <v>2000</v>
      </c>
      <c r="H44" s="65">
        <f t="shared" si="2"/>
        <v>100</v>
      </c>
    </row>
    <row r="45" spans="2:8" ht="15.75" customHeight="1" x14ac:dyDescent="0.2">
      <c r="B45" s="166" t="s">
        <v>119</v>
      </c>
      <c r="C45" s="167"/>
      <c r="D45" s="168"/>
      <c r="E45" s="64">
        <f t="shared" si="13"/>
        <v>1000</v>
      </c>
      <c r="F45" s="64">
        <v>1000</v>
      </c>
      <c r="G45" s="64">
        <v>1000</v>
      </c>
      <c r="H45" s="65">
        <f t="shared" si="2"/>
        <v>100</v>
      </c>
    </row>
    <row r="46" spans="2:8" ht="15.75" customHeight="1" x14ac:dyDescent="0.2">
      <c r="B46" s="166" t="s">
        <v>120</v>
      </c>
      <c r="C46" s="167"/>
      <c r="D46" s="168"/>
      <c r="E46" s="64">
        <f t="shared" si="13"/>
        <v>0</v>
      </c>
      <c r="F46" s="64">
        <v>0</v>
      </c>
      <c r="G46" s="64">
        <v>0</v>
      </c>
      <c r="H46" s="65" t="e">
        <f t="shared" si="2"/>
        <v>#DIV/0!</v>
      </c>
    </row>
    <row r="47" spans="2:8" ht="15.75" customHeight="1" x14ac:dyDescent="0.2">
      <c r="B47" s="166" t="s">
        <v>121</v>
      </c>
      <c r="C47" s="167"/>
      <c r="D47" s="168"/>
      <c r="E47" s="64">
        <f t="shared" si="13"/>
        <v>1000</v>
      </c>
      <c r="F47" s="64">
        <v>1000</v>
      </c>
      <c r="G47" s="64">
        <v>1000</v>
      </c>
      <c r="H47" s="65">
        <f t="shared" si="2"/>
        <v>100</v>
      </c>
    </row>
    <row r="48" spans="2:8" ht="15.75" customHeight="1" x14ac:dyDescent="0.2">
      <c r="B48" s="166" t="s">
        <v>122</v>
      </c>
      <c r="C48" s="167"/>
      <c r="D48" s="168"/>
      <c r="E48" s="64">
        <f t="shared" si="13"/>
        <v>10000</v>
      </c>
      <c r="F48" s="64">
        <v>10000</v>
      </c>
      <c r="G48" s="64">
        <v>10000</v>
      </c>
      <c r="H48" s="65">
        <f t="shared" si="2"/>
        <v>100</v>
      </c>
    </row>
    <row r="49" spans="2:10" ht="15.75" customHeight="1" x14ac:dyDescent="0.2">
      <c r="B49" s="166" t="s">
        <v>123</v>
      </c>
      <c r="C49" s="167"/>
      <c r="D49" s="168"/>
      <c r="E49" s="64">
        <f t="shared" si="13"/>
        <v>20000</v>
      </c>
      <c r="F49" s="64">
        <v>20000</v>
      </c>
      <c r="G49" s="64">
        <v>20000</v>
      </c>
      <c r="H49" s="65">
        <f t="shared" si="2"/>
        <v>100</v>
      </c>
    </row>
    <row r="50" spans="2:10" ht="18.75" customHeight="1" x14ac:dyDescent="0.2">
      <c r="B50" s="166" t="s">
        <v>124</v>
      </c>
      <c r="C50" s="167"/>
      <c r="D50" s="168"/>
      <c r="E50" s="64">
        <f t="shared" si="13"/>
        <v>9000</v>
      </c>
      <c r="F50" s="64">
        <v>9000</v>
      </c>
      <c r="G50" s="64">
        <v>9000</v>
      </c>
      <c r="H50" s="65">
        <f t="shared" si="2"/>
        <v>100</v>
      </c>
    </row>
    <row r="51" spans="2:10" ht="15.75" customHeight="1" x14ac:dyDescent="0.2">
      <c r="B51" s="166" t="s">
        <v>125</v>
      </c>
      <c r="C51" s="167"/>
      <c r="D51" s="168"/>
      <c r="E51" s="64">
        <f t="shared" si="13"/>
        <v>5000</v>
      </c>
      <c r="F51" s="64">
        <v>5000</v>
      </c>
      <c r="G51" s="64">
        <v>5000</v>
      </c>
      <c r="H51" s="65">
        <f t="shared" si="2"/>
        <v>100</v>
      </c>
    </row>
    <row r="52" spans="2:10" ht="15.75" customHeight="1" x14ac:dyDescent="0.2">
      <c r="B52" s="166" t="s">
        <v>126</v>
      </c>
      <c r="C52" s="167"/>
      <c r="D52" s="168"/>
      <c r="E52" s="64">
        <f t="shared" si="13"/>
        <v>700</v>
      </c>
      <c r="F52" s="64">
        <v>700</v>
      </c>
      <c r="G52" s="64">
        <v>700</v>
      </c>
      <c r="H52" s="65">
        <f t="shared" si="2"/>
        <v>100</v>
      </c>
    </row>
    <row r="53" spans="2:10" ht="15.75" customHeight="1" x14ac:dyDescent="0.2">
      <c r="B53" s="166" t="s">
        <v>138</v>
      </c>
      <c r="C53" s="167"/>
      <c r="D53" s="168"/>
      <c r="E53" s="64">
        <f t="shared" si="13"/>
        <v>1000</v>
      </c>
      <c r="F53" s="64">
        <v>1000</v>
      </c>
      <c r="G53" s="64">
        <v>1000</v>
      </c>
      <c r="H53" s="65">
        <f t="shared" si="2"/>
        <v>100</v>
      </c>
    </row>
    <row r="54" spans="2:10" ht="15.75" customHeight="1" x14ac:dyDescent="0.2">
      <c r="B54" s="163" t="s">
        <v>127</v>
      </c>
      <c r="C54" s="164"/>
      <c r="D54" s="165"/>
      <c r="E54" s="41">
        <f>+E55</f>
        <v>2000</v>
      </c>
      <c r="F54" s="41">
        <f t="shared" ref="F54:G54" si="14">+F55</f>
        <v>2000</v>
      </c>
      <c r="G54" s="41">
        <f t="shared" si="14"/>
        <v>2000</v>
      </c>
      <c r="H54" s="42">
        <f t="shared" si="2"/>
        <v>100</v>
      </c>
    </row>
    <row r="55" spans="2:10" ht="15.75" customHeight="1" x14ac:dyDescent="0.2">
      <c r="B55" s="166" t="s">
        <v>128</v>
      </c>
      <c r="C55" s="167"/>
      <c r="D55" s="168"/>
      <c r="E55" s="64">
        <f>+F55</f>
        <v>2000</v>
      </c>
      <c r="F55" s="64">
        <v>2000</v>
      </c>
      <c r="G55" s="64">
        <v>2000</v>
      </c>
      <c r="H55" s="65">
        <f t="shared" si="2"/>
        <v>100</v>
      </c>
    </row>
    <row r="56" spans="2:10" ht="15.75" customHeight="1" x14ac:dyDescent="0.2">
      <c r="B56" s="181" t="s">
        <v>129</v>
      </c>
      <c r="C56" s="198"/>
      <c r="D56" s="183"/>
      <c r="E56" s="73">
        <f>+E57</f>
        <v>20000</v>
      </c>
      <c r="F56" s="73">
        <f t="shared" ref="F56:G58" si="15">+F57</f>
        <v>20000</v>
      </c>
      <c r="G56" s="73">
        <f t="shared" si="15"/>
        <v>20000</v>
      </c>
      <c r="H56" s="74">
        <f t="shared" si="2"/>
        <v>100</v>
      </c>
    </row>
    <row r="57" spans="2:10" ht="15.75" customHeight="1" x14ac:dyDescent="0.2">
      <c r="B57" s="163" t="s">
        <v>100</v>
      </c>
      <c r="C57" s="164"/>
      <c r="D57" s="165"/>
      <c r="E57" s="41">
        <f>+E58</f>
        <v>20000</v>
      </c>
      <c r="F57" s="41">
        <f t="shared" si="15"/>
        <v>20000</v>
      </c>
      <c r="G57" s="41">
        <f t="shared" si="15"/>
        <v>20000</v>
      </c>
      <c r="H57" s="42">
        <f t="shared" si="2"/>
        <v>100</v>
      </c>
    </row>
    <row r="58" spans="2:10" ht="15.75" customHeight="1" x14ac:dyDescent="0.2">
      <c r="B58" s="163" t="s">
        <v>101</v>
      </c>
      <c r="C58" s="164"/>
      <c r="D58" s="165"/>
      <c r="E58" s="41">
        <f>+E59</f>
        <v>20000</v>
      </c>
      <c r="F58" s="41">
        <f t="shared" si="15"/>
        <v>20000</v>
      </c>
      <c r="G58" s="41">
        <f t="shared" si="15"/>
        <v>20000</v>
      </c>
      <c r="H58" s="42">
        <f t="shared" si="2"/>
        <v>100</v>
      </c>
    </row>
    <row r="59" spans="2:10" ht="15.75" customHeight="1" x14ac:dyDescent="0.2">
      <c r="B59" s="163" t="s">
        <v>106</v>
      </c>
      <c r="C59" s="164"/>
      <c r="D59" s="165"/>
      <c r="E59" s="41">
        <f>+E60+E61</f>
        <v>20000</v>
      </c>
      <c r="F59" s="41">
        <f>+F60+F61</f>
        <v>20000</v>
      </c>
      <c r="G59" s="41">
        <f>+G60+G61</f>
        <v>20000</v>
      </c>
      <c r="H59" s="42">
        <f t="shared" si="2"/>
        <v>100</v>
      </c>
    </row>
    <row r="60" spans="2:10" ht="15.75" customHeight="1" x14ac:dyDescent="0.2">
      <c r="B60" s="166" t="s">
        <v>116</v>
      </c>
      <c r="C60" s="167"/>
      <c r="D60" s="168"/>
      <c r="E60" s="64">
        <f>+F60</f>
        <v>17000</v>
      </c>
      <c r="F60" s="64">
        <v>17000</v>
      </c>
      <c r="G60" s="64">
        <v>17000</v>
      </c>
      <c r="H60" s="65">
        <f t="shared" si="2"/>
        <v>100</v>
      </c>
    </row>
    <row r="61" spans="2:10" ht="15.75" customHeight="1" x14ac:dyDescent="0.2">
      <c r="B61" s="166" t="s">
        <v>121</v>
      </c>
      <c r="C61" s="167"/>
      <c r="D61" s="168"/>
      <c r="E61" s="64">
        <f>+F61</f>
        <v>3000</v>
      </c>
      <c r="F61" s="64">
        <v>3000</v>
      </c>
      <c r="G61" s="64">
        <v>3000</v>
      </c>
      <c r="H61" s="65"/>
    </row>
    <row r="62" spans="2:10" ht="27.75" customHeight="1" x14ac:dyDescent="0.2">
      <c r="B62" s="181" t="s">
        <v>130</v>
      </c>
      <c r="C62" s="198"/>
      <c r="D62" s="183"/>
      <c r="E62" s="73">
        <f>+E63</f>
        <v>247844</v>
      </c>
      <c r="F62" s="73">
        <f>+F63</f>
        <v>247844</v>
      </c>
      <c r="G62" s="73">
        <f>+G63</f>
        <v>324538.84000000003</v>
      </c>
      <c r="H62" s="74">
        <f t="shared" si="2"/>
        <v>130.94480398960638</v>
      </c>
      <c r="J62" s="83"/>
    </row>
    <row r="63" spans="2:10" ht="15.75" customHeight="1" x14ac:dyDescent="0.2">
      <c r="B63" s="163" t="s">
        <v>131</v>
      </c>
      <c r="C63" s="164"/>
      <c r="D63" s="165"/>
      <c r="E63" s="41">
        <f>E64+E82+E89+E108+E116</f>
        <v>247844</v>
      </c>
      <c r="F63" s="41">
        <f>F64+F82+F89+F108+F116</f>
        <v>247844</v>
      </c>
      <c r="G63" s="41">
        <f>G64+G82+G89+G108+G116</f>
        <v>324538.84000000003</v>
      </c>
      <c r="H63" s="42">
        <f t="shared" si="2"/>
        <v>130.94480398960638</v>
      </c>
    </row>
    <row r="64" spans="2:10" ht="15.75" customHeight="1" x14ac:dyDescent="0.2">
      <c r="B64" s="163" t="s">
        <v>132</v>
      </c>
      <c r="C64" s="164"/>
      <c r="D64" s="165"/>
      <c r="E64" s="41">
        <f>E65+E69+E80</f>
        <v>47741</v>
      </c>
      <c r="F64" s="41">
        <f>F65+F69+F80</f>
        <v>47741</v>
      </c>
      <c r="G64" s="41">
        <f>G65+G69+G80</f>
        <v>44118.71</v>
      </c>
      <c r="H64" s="42">
        <f t="shared" si="2"/>
        <v>92.412622274355371</v>
      </c>
    </row>
    <row r="65" spans="2:8" ht="15.75" customHeight="1" x14ac:dyDescent="0.2">
      <c r="B65" s="163" t="s">
        <v>102</v>
      </c>
      <c r="C65" s="164"/>
      <c r="D65" s="165"/>
      <c r="E65" s="41">
        <f>E66+E67+E68</f>
        <v>38741</v>
      </c>
      <c r="F65" s="41">
        <f>F66+F67+F68</f>
        <v>38741</v>
      </c>
      <c r="G65" s="41">
        <f>G66+G67+G68</f>
        <v>41207.67</v>
      </c>
      <c r="H65" s="42">
        <f t="shared" si="2"/>
        <v>106.36707880539996</v>
      </c>
    </row>
    <row r="66" spans="2:8" ht="15.75" customHeight="1" x14ac:dyDescent="0.2">
      <c r="B66" s="166" t="s">
        <v>103</v>
      </c>
      <c r="C66" s="167"/>
      <c r="D66" s="168"/>
      <c r="E66" s="64">
        <f>+F66</f>
        <v>25000</v>
      </c>
      <c r="F66" s="64">
        <v>25000</v>
      </c>
      <c r="G66" s="64">
        <v>26732.77</v>
      </c>
      <c r="H66" s="65">
        <f t="shared" si="2"/>
        <v>106.93107999999999</v>
      </c>
    </row>
    <row r="67" spans="2:8" ht="15.75" customHeight="1" x14ac:dyDescent="0.2">
      <c r="B67" s="166" t="s">
        <v>104</v>
      </c>
      <c r="C67" s="167"/>
      <c r="D67" s="168"/>
      <c r="E67" s="64">
        <f t="shared" ref="E67:E68" si="16">+F67</f>
        <v>9741</v>
      </c>
      <c r="F67" s="64">
        <v>9741</v>
      </c>
      <c r="G67" s="64">
        <f>600+8540.38+900</f>
        <v>10040.379999999999</v>
      </c>
      <c r="H67" s="65">
        <f t="shared" si="2"/>
        <v>103.07340108818394</v>
      </c>
    </row>
    <row r="68" spans="2:8" ht="15.75" customHeight="1" x14ac:dyDescent="0.2">
      <c r="B68" s="166" t="s">
        <v>105</v>
      </c>
      <c r="C68" s="167"/>
      <c r="D68" s="168"/>
      <c r="E68" s="64">
        <f t="shared" si="16"/>
        <v>4000</v>
      </c>
      <c r="F68" s="64">
        <v>4000</v>
      </c>
      <c r="G68" s="64">
        <v>4434.5200000000004</v>
      </c>
      <c r="H68" s="65">
        <f t="shared" si="2"/>
        <v>110.863</v>
      </c>
    </row>
    <row r="69" spans="2:8" ht="15.75" customHeight="1" x14ac:dyDescent="0.2">
      <c r="B69" s="163" t="s">
        <v>106</v>
      </c>
      <c r="C69" s="164"/>
      <c r="D69" s="165"/>
      <c r="E69" s="41">
        <f>E70+E72+E73+E74+E75+E76+E78+E71+E77+E79</f>
        <v>9000</v>
      </c>
      <c r="F69" s="41">
        <f>F70+F72+F73+F74+F75+F76+F78+F71+F77+F79</f>
        <v>9000</v>
      </c>
      <c r="G69" s="41">
        <f>G70+G72+G73+G74+G75+G76+G78+G71+G77</f>
        <v>2911.04</v>
      </c>
      <c r="H69" s="42">
        <f t="shared" si="2"/>
        <v>32.344888888888889</v>
      </c>
    </row>
    <row r="70" spans="2:8" ht="15.75" customHeight="1" x14ac:dyDescent="0.2">
      <c r="B70" s="166" t="s">
        <v>108</v>
      </c>
      <c r="C70" s="167"/>
      <c r="D70" s="168"/>
      <c r="E70" s="64">
        <f>+F70</f>
        <v>0</v>
      </c>
      <c r="F70" s="64">
        <v>0</v>
      </c>
      <c r="G70" s="64">
        <v>0</v>
      </c>
      <c r="H70" s="65" t="e">
        <f t="shared" si="2"/>
        <v>#DIV/0!</v>
      </c>
    </row>
    <row r="71" spans="2:8" ht="15.75" customHeight="1" x14ac:dyDescent="0.2">
      <c r="B71" s="166" t="s">
        <v>110</v>
      </c>
      <c r="C71" s="167"/>
      <c r="D71" s="168"/>
      <c r="E71" s="64">
        <f>+F71</f>
        <v>1000</v>
      </c>
      <c r="F71" s="64">
        <v>1000</v>
      </c>
      <c r="G71" s="64">
        <v>2911.04</v>
      </c>
      <c r="H71" s="65">
        <f t="shared" si="2"/>
        <v>291.10399999999998</v>
      </c>
    </row>
    <row r="72" spans="2:8" ht="15.75" customHeight="1" x14ac:dyDescent="0.2">
      <c r="B72" s="166" t="s">
        <v>111</v>
      </c>
      <c r="C72" s="167"/>
      <c r="D72" s="168"/>
      <c r="E72" s="64">
        <f t="shared" ref="E72:E79" si="17">+F72</f>
        <v>0</v>
      </c>
      <c r="F72" s="64">
        <v>0</v>
      </c>
      <c r="G72" s="64">
        <v>0</v>
      </c>
      <c r="H72" s="65" t="e">
        <f t="shared" si="2"/>
        <v>#DIV/0!</v>
      </c>
    </row>
    <row r="73" spans="2:8" ht="15.75" customHeight="1" x14ac:dyDescent="0.2">
      <c r="B73" s="166" t="s">
        <v>113</v>
      </c>
      <c r="C73" s="167"/>
      <c r="D73" s="168"/>
      <c r="E73" s="64">
        <f t="shared" si="17"/>
        <v>0</v>
      </c>
      <c r="F73" s="64">
        <v>0</v>
      </c>
      <c r="G73" s="64">
        <v>0</v>
      </c>
      <c r="H73" s="65" t="e">
        <f t="shared" si="2"/>
        <v>#DIV/0!</v>
      </c>
    </row>
    <row r="74" spans="2:8" ht="15.75" customHeight="1" x14ac:dyDescent="0.2">
      <c r="B74" s="166" t="s">
        <v>115</v>
      </c>
      <c r="C74" s="167"/>
      <c r="D74" s="168"/>
      <c r="E74" s="64">
        <f t="shared" si="17"/>
        <v>0</v>
      </c>
      <c r="F74" s="64">
        <v>0</v>
      </c>
      <c r="G74" s="64">
        <v>0</v>
      </c>
      <c r="H74" s="65" t="e">
        <f t="shared" si="2"/>
        <v>#DIV/0!</v>
      </c>
    </row>
    <row r="75" spans="2:8" ht="15.75" customHeight="1" x14ac:dyDescent="0.2">
      <c r="B75" s="166" t="s">
        <v>116</v>
      </c>
      <c r="C75" s="167"/>
      <c r="D75" s="168"/>
      <c r="E75" s="64">
        <f t="shared" si="17"/>
        <v>2500</v>
      </c>
      <c r="F75" s="64">
        <v>2500</v>
      </c>
      <c r="G75" s="64">
        <v>0</v>
      </c>
      <c r="H75" s="65">
        <f t="shared" ref="H75:H124" si="18">G75/F75*100</f>
        <v>0</v>
      </c>
    </row>
    <row r="76" spans="2:8" ht="15.75" customHeight="1" x14ac:dyDescent="0.2">
      <c r="B76" s="166" t="s">
        <v>117</v>
      </c>
      <c r="C76" s="167"/>
      <c r="D76" s="168"/>
      <c r="E76" s="64">
        <f t="shared" si="17"/>
        <v>0</v>
      </c>
      <c r="F76" s="64">
        <v>0</v>
      </c>
      <c r="G76" s="64">
        <v>0</v>
      </c>
      <c r="H76" s="65" t="e">
        <f t="shared" si="18"/>
        <v>#DIV/0!</v>
      </c>
    </row>
    <row r="77" spans="2:8" ht="15.75" customHeight="1" x14ac:dyDescent="0.2">
      <c r="B77" s="166" t="s">
        <v>121</v>
      </c>
      <c r="C77" s="167"/>
      <c r="D77" s="168"/>
      <c r="E77" s="64">
        <f>+F77</f>
        <v>2500</v>
      </c>
      <c r="F77" s="64">
        <v>2500</v>
      </c>
      <c r="G77" s="64">
        <v>0</v>
      </c>
      <c r="H77" s="65"/>
    </row>
    <row r="78" spans="2:8" ht="15.75" customHeight="1" x14ac:dyDescent="0.2">
      <c r="B78" s="166" t="s">
        <v>137</v>
      </c>
      <c r="C78" s="169"/>
      <c r="D78" s="170"/>
      <c r="E78" s="64">
        <f t="shared" si="17"/>
        <v>2000</v>
      </c>
      <c r="F78" s="64">
        <v>2000</v>
      </c>
      <c r="G78" s="64">
        <v>0</v>
      </c>
      <c r="H78" s="65">
        <f t="shared" si="18"/>
        <v>0</v>
      </c>
    </row>
    <row r="79" spans="2:8" ht="15.75" customHeight="1" x14ac:dyDescent="0.2">
      <c r="B79" s="166" t="s">
        <v>138</v>
      </c>
      <c r="C79" s="167"/>
      <c r="D79" s="168"/>
      <c r="E79" s="64">
        <f t="shared" si="17"/>
        <v>1000</v>
      </c>
      <c r="F79" s="64">
        <v>1000</v>
      </c>
      <c r="G79" s="64">
        <v>0</v>
      </c>
      <c r="H79" s="65"/>
    </row>
    <row r="80" spans="2:8" ht="15.75" customHeight="1" x14ac:dyDescent="0.2">
      <c r="B80" s="123" t="s">
        <v>272</v>
      </c>
      <c r="C80" s="99"/>
      <c r="D80" s="100"/>
      <c r="E80" s="41">
        <f>+E81</f>
        <v>0</v>
      </c>
      <c r="F80" s="41">
        <f>+F81</f>
        <v>0</v>
      </c>
      <c r="G80" s="41">
        <f t="shared" ref="G80" si="19">+G81</f>
        <v>0</v>
      </c>
      <c r="H80" s="42" t="e">
        <f t="shared" si="18"/>
        <v>#DIV/0!</v>
      </c>
    </row>
    <row r="81" spans="2:8" ht="15.75" customHeight="1" x14ac:dyDescent="0.2">
      <c r="B81" s="122" t="s">
        <v>273</v>
      </c>
      <c r="C81" s="101"/>
      <c r="D81" s="102"/>
      <c r="E81" s="64">
        <f>+F81</f>
        <v>0</v>
      </c>
      <c r="F81" s="64">
        <v>0</v>
      </c>
      <c r="G81" s="64">
        <v>0</v>
      </c>
      <c r="H81" s="65" t="e">
        <f t="shared" si="18"/>
        <v>#DIV/0!</v>
      </c>
    </row>
    <row r="82" spans="2:8" ht="15.75" customHeight="1" x14ac:dyDescent="0.2">
      <c r="B82" s="163" t="s">
        <v>135</v>
      </c>
      <c r="C82" s="164"/>
      <c r="D82" s="165"/>
      <c r="E82" s="41">
        <f>+E83</f>
        <v>9164</v>
      </c>
      <c r="F82" s="41">
        <f t="shared" ref="F82:G83" si="20">+F83</f>
        <v>9164</v>
      </c>
      <c r="G82" s="41">
        <f t="shared" si="20"/>
        <v>8943.7100000000009</v>
      </c>
      <c r="H82" s="42">
        <f t="shared" si="18"/>
        <v>97.596137058053273</v>
      </c>
    </row>
    <row r="83" spans="2:8" ht="15.75" customHeight="1" x14ac:dyDescent="0.2">
      <c r="B83" s="163" t="s">
        <v>136</v>
      </c>
      <c r="C83" s="164"/>
      <c r="D83" s="165"/>
      <c r="E83" s="41">
        <f>+E84</f>
        <v>9164</v>
      </c>
      <c r="F83" s="41">
        <f t="shared" si="20"/>
        <v>9164</v>
      </c>
      <c r="G83" s="41">
        <f t="shared" si="20"/>
        <v>8943.7100000000009</v>
      </c>
      <c r="H83" s="42">
        <f t="shared" si="18"/>
        <v>97.596137058053273</v>
      </c>
    </row>
    <row r="84" spans="2:8" ht="15.75" customHeight="1" x14ac:dyDescent="0.2">
      <c r="B84" s="163" t="s">
        <v>106</v>
      </c>
      <c r="C84" s="164"/>
      <c r="D84" s="165"/>
      <c r="E84" s="41">
        <f>E85+E87+E86+E88</f>
        <v>9164</v>
      </c>
      <c r="F84" s="41">
        <f>F85+F87+F86+F88</f>
        <v>9164</v>
      </c>
      <c r="G84" s="41">
        <f>G85+G87+G86+G88</f>
        <v>8943.7100000000009</v>
      </c>
      <c r="H84" s="42">
        <f t="shared" si="18"/>
        <v>97.596137058053273</v>
      </c>
    </row>
    <row r="85" spans="2:8" ht="15.75" customHeight="1" x14ac:dyDescent="0.2">
      <c r="B85" s="166" t="s">
        <v>116</v>
      </c>
      <c r="C85" s="167"/>
      <c r="D85" s="168"/>
      <c r="E85" s="64">
        <f>+F85</f>
        <v>0</v>
      </c>
      <c r="F85" s="64">
        <v>0</v>
      </c>
      <c r="G85" s="64">
        <v>0</v>
      </c>
      <c r="H85" s="65" t="e">
        <f t="shared" si="18"/>
        <v>#DIV/0!</v>
      </c>
    </row>
    <row r="86" spans="2:8" ht="15.75" customHeight="1" x14ac:dyDescent="0.2">
      <c r="B86" s="166" t="s">
        <v>117</v>
      </c>
      <c r="C86" s="167"/>
      <c r="D86" s="168"/>
      <c r="E86" s="64">
        <f>+F86</f>
        <v>5000</v>
      </c>
      <c r="F86" s="64">
        <v>5000</v>
      </c>
      <c r="G86" s="64">
        <v>5114.3500000000004</v>
      </c>
      <c r="H86" s="65"/>
    </row>
    <row r="87" spans="2:8" ht="15.75" customHeight="1" x14ac:dyDescent="0.2">
      <c r="B87" s="166" t="s">
        <v>119</v>
      </c>
      <c r="C87" s="167"/>
      <c r="D87" s="168"/>
      <c r="E87" s="64">
        <f t="shared" ref="E87:E88" si="21">+F87</f>
        <v>4060</v>
      </c>
      <c r="F87" s="64">
        <v>4060</v>
      </c>
      <c r="G87" s="64">
        <v>3659.67</v>
      </c>
      <c r="H87" s="65">
        <f t="shared" si="18"/>
        <v>90.139655172413796</v>
      </c>
    </row>
    <row r="88" spans="2:8" ht="15.75" customHeight="1" x14ac:dyDescent="0.2">
      <c r="B88" s="122" t="s">
        <v>273</v>
      </c>
      <c r="C88" s="97"/>
      <c r="D88" s="98"/>
      <c r="E88" s="64">
        <f t="shared" si="21"/>
        <v>104</v>
      </c>
      <c r="F88" s="64">
        <v>104</v>
      </c>
      <c r="G88" s="64">
        <v>169.69</v>
      </c>
      <c r="H88" s="65">
        <f t="shared" si="18"/>
        <v>163.16346153846152</v>
      </c>
    </row>
    <row r="89" spans="2:8" ht="15.75" customHeight="1" x14ac:dyDescent="0.2">
      <c r="B89" s="163" t="s">
        <v>139</v>
      </c>
      <c r="C89" s="164"/>
      <c r="D89" s="165"/>
      <c r="E89" s="41">
        <f>+E90</f>
        <v>183939</v>
      </c>
      <c r="F89" s="41">
        <f>+F90</f>
        <v>183939</v>
      </c>
      <c r="G89" s="41">
        <f t="shared" ref="G89" si="22">+G90</f>
        <v>218257.42</v>
      </c>
      <c r="H89" s="42">
        <f t="shared" si="18"/>
        <v>118.6575005844329</v>
      </c>
    </row>
    <row r="90" spans="2:8" ht="15.75" customHeight="1" x14ac:dyDescent="0.2">
      <c r="B90" s="163" t="s">
        <v>140</v>
      </c>
      <c r="C90" s="164"/>
      <c r="D90" s="165"/>
      <c r="E90" s="41">
        <f>E91+E106</f>
        <v>183939</v>
      </c>
      <c r="F90" s="41">
        <f>F91+F106</f>
        <v>183939</v>
      </c>
      <c r="G90" s="41">
        <f>G91+G106</f>
        <v>218257.42</v>
      </c>
      <c r="H90" s="42">
        <f t="shared" si="18"/>
        <v>118.6575005844329</v>
      </c>
    </row>
    <row r="91" spans="2:8" ht="15.75" customHeight="1" x14ac:dyDescent="0.2">
      <c r="B91" s="163" t="s">
        <v>106</v>
      </c>
      <c r="C91" s="164"/>
      <c r="D91" s="165"/>
      <c r="E91" s="41">
        <f>SUM(E92:E105)</f>
        <v>179939</v>
      </c>
      <c r="F91" s="41">
        <f>SUM(F92:F105)</f>
        <v>179939</v>
      </c>
      <c r="G91" s="41">
        <f>SUM(G92:G105)</f>
        <v>164977.67000000001</v>
      </c>
      <c r="H91" s="42">
        <f t="shared" si="18"/>
        <v>91.685332251485235</v>
      </c>
    </row>
    <row r="92" spans="2:8" ht="15.75" customHeight="1" x14ac:dyDescent="0.2">
      <c r="B92" s="122" t="s">
        <v>107</v>
      </c>
      <c r="C92" s="95"/>
      <c r="D92" s="96"/>
      <c r="E92" s="64">
        <f>+F92</f>
        <v>0</v>
      </c>
      <c r="F92" s="64">
        <v>0</v>
      </c>
      <c r="G92" s="64">
        <v>0</v>
      </c>
      <c r="H92" s="42" t="e">
        <f t="shared" si="18"/>
        <v>#DIV/0!</v>
      </c>
    </row>
    <row r="93" spans="2:8" ht="15.75" customHeight="1" x14ac:dyDescent="0.2">
      <c r="B93" s="166" t="s">
        <v>110</v>
      </c>
      <c r="C93" s="167"/>
      <c r="D93" s="168"/>
      <c r="E93" s="64">
        <f t="shared" ref="E93:E105" si="23">+F93</f>
        <v>4622</v>
      </c>
      <c r="F93" s="64">
        <v>4622</v>
      </c>
      <c r="G93" s="64">
        <v>60009.5</v>
      </c>
      <c r="H93" s="42">
        <f t="shared" si="18"/>
        <v>1298.3448723496322</v>
      </c>
    </row>
    <row r="94" spans="2:8" ht="15.75" customHeight="1" x14ac:dyDescent="0.2">
      <c r="B94" s="122" t="s">
        <v>111</v>
      </c>
      <c r="C94" s="97"/>
      <c r="D94" s="98"/>
      <c r="E94" s="64">
        <f t="shared" si="23"/>
        <v>0</v>
      </c>
      <c r="F94" s="64">
        <v>0</v>
      </c>
      <c r="G94" s="64">
        <v>0</v>
      </c>
      <c r="H94" s="42" t="e">
        <f t="shared" si="18"/>
        <v>#DIV/0!</v>
      </c>
    </row>
    <row r="95" spans="2:8" ht="15.75" customHeight="1" x14ac:dyDescent="0.2">
      <c r="B95" s="122" t="s">
        <v>112</v>
      </c>
      <c r="C95" s="97"/>
      <c r="D95" s="98"/>
      <c r="E95" s="64">
        <f t="shared" si="23"/>
        <v>0</v>
      </c>
      <c r="F95" s="64">
        <v>0</v>
      </c>
      <c r="G95" s="64">
        <v>0</v>
      </c>
      <c r="H95" s="42" t="e">
        <f t="shared" si="18"/>
        <v>#DIV/0!</v>
      </c>
    </row>
    <row r="96" spans="2:8" ht="15.75" customHeight="1" x14ac:dyDescent="0.2">
      <c r="B96" s="166" t="s">
        <v>113</v>
      </c>
      <c r="C96" s="167"/>
      <c r="D96" s="168"/>
      <c r="E96" s="64">
        <f t="shared" si="23"/>
        <v>10000</v>
      </c>
      <c r="F96" s="64">
        <v>10000</v>
      </c>
      <c r="G96" s="64">
        <v>0</v>
      </c>
      <c r="H96" s="42"/>
    </row>
    <row r="97" spans="2:8" ht="15.75" customHeight="1" x14ac:dyDescent="0.2">
      <c r="B97" s="122" t="s">
        <v>274</v>
      </c>
      <c r="C97" s="97"/>
      <c r="D97" s="98"/>
      <c r="E97" s="64">
        <f t="shared" si="23"/>
        <v>0</v>
      </c>
      <c r="F97" s="64">
        <v>0</v>
      </c>
      <c r="G97" s="64">
        <v>0</v>
      </c>
      <c r="H97" s="42" t="e">
        <f t="shared" si="18"/>
        <v>#DIV/0!</v>
      </c>
    </row>
    <row r="98" spans="2:8" ht="15.75" customHeight="1" x14ac:dyDescent="0.2">
      <c r="B98" s="122" t="s">
        <v>115</v>
      </c>
      <c r="C98" s="97"/>
      <c r="D98" s="98"/>
      <c r="E98" s="64">
        <f t="shared" si="23"/>
        <v>0</v>
      </c>
      <c r="F98" s="64">
        <v>0</v>
      </c>
      <c r="G98" s="64">
        <v>0</v>
      </c>
      <c r="H98" s="42" t="e">
        <f t="shared" si="18"/>
        <v>#DIV/0!</v>
      </c>
    </row>
    <row r="99" spans="2:8" ht="15.75" customHeight="1" x14ac:dyDescent="0.2">
      <c r="B99" s="166" t="s">
        <v>116</v>
      </c>
      <c r="C99" s="167"/>
      <c r="D99" s="168"/>
      <c r="E99" s="64">
        <f t="shared" si="23"/>
        <v>126751</v>
      </c>
      <c r="F99" s="64">
        <v>126751</v>
      </c>
      <c r="G99" s="64">
        <f>50639.5+25600</f>
        <v>76239.5</v>
      </c>
      <c r="H99" s="42">
        <f t="shared" si="18"/>
        <v>60.14903235477432</v>
      </c>
    </row>
    <row r="100" spans="2:8" ht="15.75" customHeight="1" x14ac:dyDescent="0.2">
      <c r="B100" s="166" t="s">
        <v>117</v>
      </c>
      <c r="C100" s="167"/>
      <c r="D100" s="168"/>
      <c r="E100" s="64">
        <f t="shared" si="23"/>
        <v>14462</v>
      </c>
      <c r="F100" s="64">
        <v>14462</v>
      </c>
      <c r="G100" s="64">
        <v>0</v>
      </c>
      <c r="H100" s="42">
        <f t="shared" si="18"/>
        <v>0</v>
      </c>
    </row>
    <row r="101" spans="2:8" ht="15.75" customHeight="1" x14ac:dyDescent="0.2">
      <c r="B101" s="166" t="s">
        <v>118</v>
      </c>
      <c r="C101" s="167"/>
      <c r="D101" s="168"/>
      <c r="E101" s="64">
        <f t="shared" si="23"/>
        <v>20000</v>
      </c>
      <c r="F101" s="64">
        <v>20000</v>
      </c>
      <c r="G101" s="64">
        <v>0</v>
      </c>
      <c r="H101" s="42">
        <f t="shared" si="18"/>
        <v>0</v>
      </c>
    </row>
    <row r="102" spans="2:8" ht="15.75" customHeight="1" x14ac:dyDescent="0.2">
      <c r="B102" s="166" t="s">
        <v>121</v>
      </c>
      <c r="C102" s="167"/>
      <c r="D102" s="168"/>
      <c r="E102" s="64">
        <f t="shared" si="23"/>
        <v>4000</v>
      </c>
      <c r="F102" s="64">
        <v>4000</v>
      </c>
      <c r="G102" s="64">
        <v>28625</v>
      </c>
      <c r="H102" s="42">
        <f t="shared" si="18"/>
        <v>715.625</v>
      </c>
    </row>
    <row r="103" spans="2:8" ht="15.75" customHeight="1" x14ac:dyDescent="0.2">
      <c r="B103" s="166" t="s">
        <v>123</v>
      </c>
      <c r="C103" s="167"/>
      <c r="D103" s="168"/>
      <c r="E103" s="64">
        <f t="shared" si="23"/>
        <v>0</v>
      </c>
      <c r="F103" s="64">
        <v>0</v>
      </c>
      <c r="G103" s="64">
        <v>0</v>
      </c>
      <c r="H103" s="42" t="e">
        <f t="shared" si="18"/>
        <v>#DIV/0!</v>
      </c>
    </row>
    <row r="104" spans="2:8" ht="15.75" customHeight="1" x14ac:dyDescent="0.2">
      <c r="B104" s="122" t="s">
        <v>125</v>
      </c>
      <c r="C104" s="97"/>
      <c r="D104" s="98"/>
      <c r="E104" s="64">
        <f t="shared" si="23"/>
        <v>0</v>
      </c>
      <c r="F104" s="64">
        <v>0</v>
      </c>
      <c r="G104" s="64">
        <v>0</v>
      </c>
      <c r="H104" s="42" t="e">
        <f t="shared" si="18"/>
        <v>#DIV/0!</v>
      </c>
    </row>
    <row r="105" spans="2:8" ht="15.75" customHeight="1" x14ac:dyDescent="0.2">
      <c r="B105" s="122" t="s">
        <v>273</v>
      </c>
      <c r="C105" s="97"/>
      <c r="D105" s="98"/>
      <c r="E105" s="64">
        <f t="shared" si="23"/>
        <v>104</v>
      </c>
      <c r="F105" s="64">
        <v>104</v>
      </c>
      <c r="G105" s="64">
        <v>103.67</v>
      </c>
      <c r="H105" s="42">
        <f t="shared" si="18"/>
        <v>99.682692307692307</v>
      </c>
    </row>
    <row r="106" spans="2:8" ht="15.75" customHeight="1" x14ac:dyDescent="0.2">
      <c r="B106" s="163" t="s">
        <v>133</v>
      </c>
      <c r="C106" s="164"/>
      <c r="D106" s="165"/>
      <c r="E106" s="41">
        <f>+E107</f>
        <v>4000</v>
      </c>
      <c r="F106" s="41">
        <f t="shared" ref="F106:G106" si="24">+F107</f>
        <v>4000</v>
      </c>
      <c r="G106" s="41">
        <f t="shared" si="24"/>
        <v>53279.75</v>
      </c>
      <c r="H106" s="42">
        <f t="shared" si="18"/>
        <v>1331.9937500000001</v>
      </c>
    </row>
    <row r="107" spans="2:8" ht="15.75" customHeight="1" x14ac:dyDescent="0.2">
      <c r="B107" s="166" t="s">
        <v>134</v>
      </c>
      <c r="C107" s="167"/>
      <c r="D107" s="168"/>
      <c r="E107" s="64">
        <f>+F107</f>
        <v>4000</v>
      </c>
      <c r="F107" s="64">
        <v>4000</v>
      </c>
      <c r="G107" s="64">
        <v>53279.75</v>
      </c>
      <c r="H107" s="42">
        <f t="shared" si="18"/>
        <v>1331.9937500000001</v>
      </c>
    </row>
    <row r="108" spans="2:8" ht="15.75" customHeight="1" x14ac:dyDescent="0.2">
      <c r="B108" s="163" t="s">
        <v>279</v>
      </c>
      <c r="C108" s="164"/>
      <c r="D108" s="165"/>
      <c r="E108" s="41">
        <f>+E109</f>
        <v>5200</v>
      </c>
      <c r="F108" s="41">
        <f>+F109</f>
        <v>5200</v>
      </c>
      <c r="G108" s="41">
        <f t="shared" ref="F108:G109" si="25">+G109</f>
        <v>51419</v>
      </c>
      <c r="H108" s="42">
        <f t="shared" si="18"/>
        <v>988.82692307692309</v>
      </c>
    </row>
    <row r="109" spans="2:8" ht="15.75" customHeight="1" x14ac:dyDescent="0.2">
      <c r="B109" s="163" t="s">
        <v>280</v>
      </c>
      <c r="C109" s="164"/>
      <c r="D109" s="165"/>
      <c r="E109" s="41">
        <f>+E110</f>
        <v>5200</v>
      </c>
      <c r="F109" s="41">
        <f t="shared" si="25"/>
        <v>5200</v>
      </c>
      <c r="G109" s="41">
        <f t="shared" si="25"/>
        <v>51419</v>
      </c>
      <c r="H109" s="42">
        <f t="shared" si="18"/>
        <v>988.82692307692309</v>
      </c>
    </row>
    <row r="110" spans="2:8" ht="15.75" customHeight="1" x14ac:dyDescent="0.2">
      <c r="B110" s="163" t="s">
        <v>106</v>
      </c>
      <c r="C110" s="164"/>
      <c r="D110" s="165"/>
      <c r="E110" s="41">
        <f>SUM(E111:E115)</f>
        <v>5200</v>
      </c>
      <c r="F110" s="41">
        <f>SUM(F111:F115)</f>
        <v>5200</v>
      </c>
      <c r="G110" s="41">
        <f>SUM(G111:G115)</f>
        <v>51419</v>
      </c>
      <c r="H110" s="42">
        <f t="shared" si="18"/>
        <v>988.82692307692309</v>
      </c>
    </row>
    <row r="111" spans="2:8" ht="15.75" customHeight="1" x14ac:dyDescent="0.2">
      <c r="B111" s="166" t="s">
        <v>110</v>
      </c>
      <c r="C111" s="167"/>
      <c r="D111" s="168"/>
      <c r="E111" s="64">
        <f>+F111</f>
        <v>0</v>
      </c>
      <c r="F111" s="64">
        <v>0</v>
      </c>
      <c r="G111" s="64">
        <v>7200</v>
      </c>
      <c r="H111" s="42" t="e">
        <f t="shared" si="18"/>
        <v>#DIV/0!</v>
      </c>
    </row>
    <row r="112" spans="2:8" ht="15.75" customHeight="1" x14ac:dyDescent="0.2">
      <c r="B112" s="166" t="s">
        <v>116</v>
      </c>
      <c r="C112" s="167"/>
      <c r="D112" s="168"/>
      <c r="E112" s="64">
        <v>0</v>
      </c>
      <c r="F112" s="64">
        <v>0</v>
      </c>
      <c r="G112" s="64">
        <v>30000</v>
      </c>
      <c r="H112" s="42"/>
    </row>
    <row r="113" spans="2:8" ht="15.75" customHeight="1" x14ac:dyDescent="0.2">
      <c r="B113" s="166" t="s">
        <v>121</v>
      </c>
      <c r="C113" s="167"/>
      <c r="D113" s="168"/>
      <c r="E113" s="64">
        <f t="shared" ref="E113:E114" si="26">+F113</f>
        <v>0</v>
      </c>
      <c r="F113" s="64">
        <v>0</v>
      </c>
      <c r="G113" s="64">
        <v>0</v>
      </c>
      <c r="H113" s="42" t="e">
        <f t="shared" si="18"/>
        <v>#DIV/0!</v>
      </c>
    </row>
    <row r="114" spans="2:8" ht="15.75" customHeight="1" x14ac:dyDescent="0.2">
      <c r="B114" s="166" t="s">
        <v>123</v>
      </c>
      <c r="C114" s="167"/>
      <c r="D114" s="168"/>
      <c r="E114" s="64">
        <f t="shared" si="26"/>
        <v>0</v>
      </c>
      <c r="F114" s="64">
        <v>0</v>
      </c>
      <c r="G114" s="64">
        <v>0</v>
      </c>
      <c r="H114" s="42" t="e">
        <f t="shared" si="18"/>
        <v>#DIV/0!</v>
      </c>
    </row>
    <row r="115" spans="2:8" ht="15.75" customHeight="1" x14ac:dyDescent="0.2">
      <c r="B115" s="166" t="s">
        <v>134</v>
      </c>
      <c r="C115" s="167"/>
      <c r="D115" s="168"/>
      <c r="E115" s="64">
        <f>+F115</f>
        <v>5200</v>
      </c>
      <c r="F115" s="64">
        <v>5200</v>
      </c>
      <c r="G115" s="64">
        <v>14219</v>
      </c>
      <c r="H115" s="42">
        <f t="shared" si="18"/>
        <v>273.44230769230768</v>
      </c>
    </row>
    <row r="116" spans="2:8" ht="15.75" customHeight="1" x14ac:dyDescent="0.2">
      <c r="B116" s="163" t="s">
        <v>292</v>
      </c>
      <c r="C116" s="164"/>
      <c r="D116" s="165"/>
      <c r="E116" s="41">
        <f t="shared" ref="E116:F116" si="27">+E117</f>
        <v>1800</v>
      </c>
      <c r="F116" s="41">
        <f t="shared" si="27"/>
        <v>1800</v>
      </c>
      <c r="G116" s="41">
        <f>+G117</f>
        <v>1800</v>
      </c>
      <c r="H116" s="42">
        <f t="shared" si="18"/>
        <v>100</v>
      </c>
    </row>
    <row r="117" spans="2:8" ht="15.75" customHeight="1" x14ac:dyDescent="0.2">
      <c r="B117" s="163" t="s">
        <v>293</v>
      </c>
      <c r="C117" s="164"/>
      <c r="D117" s="165"/>
      <c r="E117" s="41">
        <f>+E119+E118</f>
        <v>1800</v>
      </c>
      <c r="F117" s="41">
        <f>+F119+F118</f>
        <v>1800</v>
      </c>
      <c r="G117" s="41">
        <f>+G119+G118</f>
        <v>1800</v>
      </c>
      <c r="H117" s="42">
        <f t="shared" si="18"/>
        <v>100</v>
      </c>
    </row>
    <row r="118" spans="2:8" ht="15.75" customHeight="1" x14ac:dyDescent="0.2">
      <c r="B118" s="166" t="s">
        <v>113</v>
      </c>
      <c r="C118" s="167"/>
      <c r="D118" s="168"/>
      <c r="E118" s="64">
        <v>0</v>
      </c>
      <c r="F118" s="64">
        <v>0</v>
      </c>
      <c r="G118" s="64">
        <v>1800</v>
      </c>
      <c r="H118" s="42" t="e">
        <f t="shared" si="18"/>
        <v>#DIV/0!</v>
      </c>
    </row>
    <row r="119" spans="2:8" ht="15.75" customHeight="1" x14ac:dyDescent="0.2">
      <c r="B119" s="166" t="s">
        <v>134</v>
      </c>
      <c r="C119" s="167"/>
      <c r="D119" s="168"/>
      <c r="E119" s="64">
        <f>+F119</f>
        <v>1800</v>
      </c>
      <c r="F119" s="64">
        <v>1800</v>
      </c>
      <c r="G119" s="64">
        <v>0</v>
      </c>
      <c r="H119" s="42">
        <f t="shared" si="18"/>
        <v>0</v>
      </c>
    </row>
    <row r="120" spans="2:8" ht="15.75" customHeight="1" x14ac:dyDescent="0.2">
      <c r="B120" s="181" t="s">
        <v>276</v>
      </c>
      <c r="C120" s="198"/>
      <c r="D120" s="183"/>
      <c r="E120" s="73">
        <f>+E121</f>
        <v>32379</v>
      </c>
      <c r="F120" s="73">
        <f t="shared" ref="F120:G120" si="28">+F121</f>
        <v>32379</v>
      </c>
      <c r="G120" s="73">
        <f t="shared" si="28"/>
        <v>32378.33</v>
      </c>
      <c r="H120" s="74">
        <f t="shared" si="18"/>
        <v>99.997930757589799</v>
      </c>
    </row>
    <row r="121" spans="2:8" x14ac:dyDescent="0.2">
      <c r="B121" s="163" t="s">
        <v>139</v>
      </c>
      <c r="C121" s="164"/>
      <c r="D121" s="165"/>
      <c r="E121" s="41">
        <f>+E122</f>
        <v>32379</v>
      </c>
      <c r="F121" s="41">
        <f t="shared" ref="F121:G121" si="29">+F122</f>
        <v>32379</v>
      </c>
      <c r="G121" s="41">
        <f t="shared" si="29"/>
        <v>32378.33</v>
      </c>
      <c r="H121" s="42">
        <f t="shared" si="18"/>
        <v>99.997930757589799</v>
      </c>
    </row>
    <row r="122" spans="2:8" x14ac:dyDescent="0.2">
      <c r="B122" s="163" t="s">
        <v>275</v>
      </c>
      <c r="C122" s="164"/>
      <c r="D122" s="165"/>
      <c r="E122" s="41">
        <f>E123+E136</f>
        <v>32379</v>
      </c>
      <c r="F122" s="41">
        <f>F123+F136</f>
        <v>32379</v>
      </c>
      <c r="G122" s="41">
        <f>G123+G136</f>
        <v>32378.33</v>
      </c>
      <c r="H122" s="42">
        <f t="shared" si="18"/>
        <v>99.997930757589799</v>
      </c>
    </row>
    <row r="123" spans="2:8" x14ac:dyDescent="0.2">
      <c r="B123" s="163" t="s">
        <v>106</v>
      </c>
      <c r="C123" s="164"/>
      <c r="D123" s="165"/>
      <c r="E123" s="41">
        <f>SUM(E124:E135)</f>
        <v>32379</v>
      </c>
      <c r="F123" s="41">
        <f t="shared" ref="F123" si="30">SUM(F124:F135)</f>
        <v>32379</v>
      </c>
      <c r="G123" s="41">
        <f t="shared" ref="G123" si="31">SUM(G124:G135)</f>
        <v>32378.33</v>
      </c>
      <c r="H123" s="42">
        <f t="shared" si="18"/>
        <v>99.997930757589799</v>
      </c>
    </row>
    <row r="124" spans="2:8" ht="12.75" customHeight="1" x14ac:dyDescent="0.2">
      <c r="B124" s="166" t="s">
        <v>134</v>
      </c>
      <c r="C124" s="167"/>
      <c r="D124" s="168"/>
      <c r="E124" s="64">
        <f>+F124</f>
        <v>32379</v>
      </c>
      <c r="F124" s="64">
        <v>32379</v>
      </c>
      <c r="G124" s="64">
        <v>32378.33</v>
      </c>
      <c r="H124" s="42">
        <f t="shared" si="18"/>
        <v>99.997930757589799</v>
      </c>
    </row>
  </sheetData>
  <mergeCells count="111">
    <mergeCell ref="B112:D112"/>
    <mergeCell ref="B118:D118"/>
    <mergeCell ref="B45:D45"/>
    <mergeCell ref="B115:D115"/>
    <mergeCell ref="B116:D116"/>
    <mergeCell ref="B117:D117"/>
    <mergeCell ref="B119:D119"/>
    <mergeCell ref="B61:D61"/>
    <mergeCell ref="B71:D71"/>
    <mergeCell ref="B77:D77"/>
    <mergeCell ref="B79:D79"/>
    <mergeCell ref="B86:D86"/>
    <mergeCell ref="B114:D114"/>
    <mergeCell ref="B108:D108"/>
    <mergeCell ref="B109:D109"/>
    <mergeCell ref="B110:D110"/>
    <mergeCell ref="B113:D113"/>
    <mergeCell ref="B111:D111"/>
    <mergeCell ref="B85:D85"/>
    <mergeCell ref="B87:D87"/>
    <mergeCell ref="B82:D82"/>
    <mergeCell ref="B83:D83"/>
    <mergeCell ref="B84:D84"/>
    <mergeCell ref="B106:D106"/>
    <mergeCell ref="B107:D107"/>
    <mergeCell ref="B89:D89"/>
    <mergeCell ref="B17:C17"/>
    <mergeCell ref="B121:D121"/>
    <mergeCell ref="B122:D122"/>
    <mergeCell ref="B123:D123"/>
    <mergeCell ref="B124:D124"/>
    <mergeCell ref="B120:D120"/>
    <mergeCell ref="B32:D32"/>
    <mergeCell ref="B60:D60"/>
    <mergeCell ref="B62:D62"/>
    <mergeCell ref="B44:D44"/>
    <mergeCell ref="B46:D46"/>
    <mergeCell ref="B47:D47"/>
    <mergeCell ref="B48:D48"/>
    <mergeCell ref="B49:D49"/>
    <mergeCell ref="B50:D50"/>
    <mergeCell ref="B51:D51"/>
    <mergeCell ref="B56:D56"/>
    <mergeCell ref="B57:D57"/>
    <mergeCell ref="B58:D58"/>
    <mergeCell ref="B52:D52"/>
    <mergeCell ref="B53:D53"/>
    <mergeCell ref="B54:D54"/>
    <mergeCell ref="B8:C8"/>
    <mergeCell ref="B33:D33"/>
    <mergeCell ref="B9:C9"/>
    <mergeCell ref="B18:C18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39:D39"/>
    <mergeCell ref="B2:H2"/>
    <mergeCell ref="B29:D29"/>
    <mergeCell ref="B30:D30"/>
    <mergeCell ref="B31:D31"/>
    <mergeCell ref="B21:C21"/>
    <mergeCell ref="B22:C22"/>
    <mergeCell ref="B23:D23"/>
    <mergeCell ref="B24:D24"/>
    <mergeCell ref="B25:D25"/>
    <mergeCell ref="B26:D26"/>
    <mergeCell ref="B27:D27"/>
    <mergeCell ref="B28:D28"/>
    <mergeCell ref="B10:C10"/>
    <mergeCell ref="B11:C11"/>
    <mergeCell ref="B19:C19"/>
    <mergeCell ref="B20:C20"/>
    <mergeCell ref="B4:H4"/>
    <mergeCell ref="B6:D6"/>
    <mergeCell ref="B7:D7"/>
    <mergeCell ref="B12:C12"/>
    <mergeCell ref="B13:C13"/>
    <mergeCell ref="B14:C14"/>
    <mergeCell ref="B15:C15"/>
    <mergeCell ref="B16:C16"/>
    <mergeCell ref="B55:D55"/>
    <mergeCell ref="B78:D78"/>
    <mergeCell ref="B63:D63"/>
    <mergeCell ref="B64:D64"/>
    <mergeCell ref="B65:D65"/>
    <mergeCell ref="B66:D66"/>
    <mergeCell ref="B67:D67"/>
    <mergeCell ref="B68:D68"/>
    <mergeCell ref="B69:D69"/>
    <mergeCell ref="B70:D70"/>
    <mergeCell ref="B72:D72"/>
    <mergeCell ref="B73:D73"/>
    <mergeCell ref="B74:D74"/>
    <mergeCell ref="B75:D75"/>
    <mergeCell ref="B76:D76"/>
    <mergeCell ref="B91:D91"/>
    <mergeCell ref="B99:D99"/>
    <mergeCell ref="B93:D93"/>
    <mergeCell ref="B101:D101"/>
    <mergeCell ref="B100:D100"/>
    <mergeCell ref="B102:D102"/>
    <mergeCell ref="B103:D103"/>
    <mergeCell ref="B96:D96"/>
    <mergeCell ref="B59:D59"/>
    <mergeCell ref="B90:D90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SAŽETAK</vt:lpstr>
      <vt:lpstr> Račun prihoda i rashoda</vt:lpstr>
      <vt:lpstr>PiRashodi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'PiRashodi prema izvorima finan'!Podrucje_ispisa</vt:lpstr>
      <vt:lpstr>'POSEBNI DIO'!Podrucje_ispisa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2025-05-23T08:01:18Z</cp:lastPrinted>
  <dcterms:created xsi:type="dcterms:W3CDTF">2022-08-12T12:51:27Z</dcterms:created>
  <dcterms:modified xsi:type="dcterms:W3CDTF">2025-05-23T08:01:27Z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