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Uporabnik\AppData\Local\Microsoft\Windows\INetCache\Content.Outlook\IFP14UWB\"/>
    </mc:Choice>
  </mc:AlternateContent>
  <xr:revisionPtr revIDLastSave="0" documentId="13_ncr:1_{3CC17A0F-37A9-4874-A924-684EEAA43DFB}" xr6:coauthVersionLast="47" xr6:coauthVersionMax="47" xr10:uidLastSave="{00000000-0000-0000-0000-000000000000}"/>
  <bookViews>
    <workbookView xWindow="-120" yWindow="-120" windowWidth="20730" windowHeight="11160" tabRatio="801" firstSheet="2" activeTab="6" xr2:uid="{00000000-000D-0000-FFFF-FFFF00000000}"/>
  </bookViews>
  <sheets>
    <sheet name="SAŽETAK" sheetId="1" r:id="rId1"/>
    <sheet name=" Račun prihoda i rashoda-ekonom" sheetId="3" r:id="rId2"/>
    <sheet name=" Račun prihoda i rashoda-izvori" sheetId="9" r:id="rId3"/>
    <sheet name=" Račun rashoda-funkcija" sheetId="10" r:id="rId4"/>
    <sheet name=" Račun financiranja-ekonomska" sheetId="11" r:id="rId5"/>
    <sheet name=" Račun financiranja-izvori" sheetId="12" r:id="rId6"/>
    <sheet name="POSEBNI DIO" sheetId="13" r:id="rId7"/>
    <sheet name="POSEBNI DIO-UPUTA" sheetId="7" r:id="rId8"/>
  </sheets>
  <definedNames>
    <definedName name="_xlnm.Print_Area" localSheetId="4">' Račun financiranja-ekonomska'!$A$1:$H$15</definedName>
    <definedName name="_xlnm.Print_Area" localSheetId="5">' Račun financiranja-izvori'!$A$1:$F$11</definedName>
    <definedName name="_xlnm.Print_Area" localSheetId="1">' Račun prihoda i rashoda-ekonom'!$A$1:$H$29</definedName>
    <definedName name="_xlnm.Print_Area" localSheetId="2">' Račun prihoda i rashoda-izvori'!$A$1:$F$27</definedName>
    <definedName name="_xlnm.Print_Area" localSheetId="3">' Račun rashoda-funkcija'!$A$1:$F$8</definedName>
    <definedName name="_xlnm.Print_Area" localSheetId="6">'POSEBNI DIO'!$A$1:$I$133</definedName>
    <definedName name="_xlnm.Print_Area" localSheetId="7">'POSEBNI DIO-UPUTA'!$A$2:$G$16</definedName>
    <definedName name="_xlnm.Print_Area" localSheetId="0">SAŽETAK!$A$1:$J$29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3" l="1"/>
  <c r="F9" i="13"/>
  <c r="F22" i="9"/>
  <c r="E22" i="9"/>
  <c r="E21" i="9" s="1"/>
  <c r="D22" i="9"/>
  <c r="F8" i="9"/>
  <c r="E8" i="9"/>
  <c r="E7" i="9" s="1"/>
  <c r="D8" i="9"/>
  <c r="D7" i="9" s="1"/>
  <c r="H24" i="3"/>
  <c r="G24" i="3"/>
  <c r="F24" i="3"/>
  <c r="H16" i="3"/>
  <c r="H11" i="3"/>
  <c r="G16" i="3"/>
  <c r="F16" i="3"/>
  <c r="F15" i="1"/>
  <c r="J12" i="1"/>
  <c r="J14" i="1" s="1"/>
  <c r="I12" i="1"/>
  <c r="H12" i="1"/>
  <c r="H14" i="1" s="1"/>
  <c r="J9" i="1"/>
  <c r="I9" i="1"/>
  <c r="H9" i="1"/>
  <c r="H11" i="1" s="1"/>
  <c r="F25" i="1"/>
  <c r="F26" i="1"/>
  <c r="J6" i="13"/>
  <c r="H31" i="13"/>
  <c r="H53" i="13"/>
  <c r="H27" i="13"/>
  <c r="F105" i="13"/>
  <c r="G105" i="13"/>
  <c r="H105" i="13"/>
  <c r="I105" i="13"/>
  <c r="E105" i="13"/>
  <c r="H25" i="3"/>
  <c r="G25" i="3"/>
  <c r="H15" i="3"/>
  <c r="G15" i="3"/>
  <c r="F15" i="3"/>
  <c r="G12" i="3"/>
  <c r="I13" i="1"/>
  <c r="E85" i="13"/>
  <c r="E84" i="13" s="1"/>
  <c r="E68" i="13"/>
  <c r="E64" i="13"/>
  <c r="G93" i="13"/>
  <c r="G92" i="13" s="1"/>
  <c r="G91" i="13" s="1"/>
  <c r="E93" i="13"/>
  <c r="F93" i="13"/>
  <c r="H93" i="13"/>
  <c r="I93" i="13"/>
  <c r="E86" i="13"/>
  <c r="F86" i="13"/>
  <c r="F85" i="13" s="1"/>
  <c r="H86" i="13"/>
  <c r="H85" i="13" s="1"/>
  <c r="I86" i="13"/>
  <c r="I85" i="13" s="1"/>
  <c r="G86" i="13"/>
  <c r="G85" i="13" s="1"/>
  <c r="F68" i="13"/>
  <c r="H68" i="13"/>
  <c r="I68" i="13"/>
  <c r="G68" i="13"/>
  <c r="G64" i="13"/>
  <c r="E58" i="13"/>
  <c r="E57" i="13" s="1"/>
  <c r="E56" i="13" s="1"/>
  <c r="E55" i="13" s="1"/>
  <c r="F58" i="13"/>
  <c r="F57" i="13" s="1"/>
  <c r="F56" i="13" s="1"/>
  <c r="F55" i="13" s="1"/>
  <c r="H58" i="13"/>
  <c r="H57" i="13" s="1"/>
  <c r="H56" i="13" s="1"/>
  <c r="H55" i="13" s="1"/>
  <c r="I58" i="13"/>
  <c r="I57" i="13" s="1"/>
  <c r="I56" i="13" s="1"/>
  <c r="I55" i="13" s="1"/>
  <c r="G58" i="13"/>
  <c r="G57" i="13" s="1"/>
  <c r="G56" i="13" s="1"/>
  <c r="G55" i="13" s="1"/>
  <c r="G6" i="9"/>
  <c r="F26" i="3"/>
  <c r="F12" i="3"/>
  <c r="F132" i="13"/>
  <c r="G132" i="13"/>
  <c r="H132" i="13"/>
  <c r="I132" i="13"/>
  <c r="F129" i="13"/>
  <c r="G129" i="13"/>
  <c r="G128" i="13" s="1"/>
  <c r="G127" i="13" s="1"/>
  <c r="G126" i="13" s="1"/>
  <c r="H129" i="13"/>
  <c r="I129" i="13"/>
  <c r="F124" i="13"/>
  <c r="G124" i="13"/>
  <c r="H124" i="13"/>
  <c r="I124" i="13"/>
  <c r="F121" i="13"/>
  <c r="G121" i="13"/>
  <c r="G120" i="13" s="1"/>
  <c r="G119" i="13" s="1"/>
  <c r="G118" i="13" s="1"/>
  <c r="H121" i="13"/>
  <c r="I121" i="13"/>
  <c r="I120" i="13" s="1"/>
  <c r="I119" i="13" s="1"/>
  <c r="I118" i="13" s="1"/>
  <c r="F116" i="13"/>
  <c r="F115" i="13" s="1"/>
  <c r="F114" i="13" s="1"/>
  <c r="F21" i="13" s="1"/>
  <c r="F20" i="13" s="1"/>
  <c r="G116" i="13"/>
  <c r="G115" i="13" s="1"/>
  <c r="G114" i="13" s="1"/>
  <c r="G21" i="13" s="1"/>
  <c r="G20" i="13" s="1"/>
  <c r="H116" i="13"/>
  <c r="H115" i="13" s="1"/>
  <c r="H114" i="13" s="1"/>
  <c r="H21" i="13" s="1"/>
  <c r="H20" i="13" s="1"/>
  <c r="I116" i="13"/>
  <c r="I115" i="13" s="1"/>
  <c r="I114" i="13" s="1"/>
  <c r="I21" i="13" s="1"/>
  <c r="I20" i="13" s="1"/>
  <c r="F112" i="13"/>
  <c r="G112" i="13"/>
  <c r="H112" i="13"/>
  <c r="I112" i="13"/>
  <c r="F110" i="13"/>
  <c r="G110" i="13"/>
  <c r="G109" i="13" s="1"/>
  <c r="G108" i="13" s="1"/>
  <c r="G19" i="13" s="1"/>
  <c r="G18" i="13" s="1"/>
  <c r="H110" i="13"/>
  <c r="H109" i="13" s="1"/>
  <c r="H108" i="13" s="1"/>
  <c r="H19" i="13" s="1"/>
  <c r="H18" i="13" s="1"/>
  <c r="I110" i="13"/>
  <c r="I109" i="13" s="1"/>
  <c r="I108" i="13" s="1"/>
  <c r="I19" i="13" s="1"/>
  <c r="I18" i="13" s="1"/>
  <c r="F82" i="13"/>
  <c r="G82" i="13"/>
  <c r="H82" i="13"/>
  <c r="I82" i="13"/>
  <c r="F64" i="13"/>
  <c r="H64" i="13"/>
  <c r="I64" i="13"/>
  <c r="F53" i="13"/>
  <c r="G53" i="13"/>
  <c r="I53" i="13"/>
  <c r="F31" i="13"/>
  <c r="G31" i="13"/>
  <c r="I31" i="13"/>
  <c r="F27" i="13"/>
  <c r="G27" i="13"/>
  <c r="I27" i="13"/>
  <c r="E129" i="13"/>
  <c r="E121" i="13"/>
  <c r="E82" i="13"/>
  <c r="E132" i="13"/>
  <c r="E124" i="13"/>
  <c r="E116" i="13"/>
  <c r="E115" i="13" s="1"/>
  <c r="E114" i="13" s="1"/>
  <c r="E21" i="13" s="1"/>
  <c r="E20" i="13" s="1"/>
  <c r="E110" i="13"/>
  <c r="E112" i="13"/>
  <c r="E27" i="13"/>
  <c r="E53" i="13"/>
  <c r="E31" i="13"/>
  <c r="H6" i="10"/>
  <c r="G6" i="10"/>
  <c r="C8" i="10"/>
  <c r="B8" i="10"/>
  <c r="B7" i="10" s="1"/>
  <c r="B6" i="10" s="1"/>
  <c r="C7" i="10"/>
  <c r="C6" i="10"/>
  <c r="B28" i="9"/>
  <c r="B27" i="9" s="1"/>
  <c r="C22" i="9"/>
  <c r="C21" i="9" s="1"/>
  <c r="B22" i="9"/>
  <c r="B21" i="9" s="1"/>
  <c r="C30" i="9"/>
  <c r="D30" i="9"/>
  <c r="E30" i="9"/>
  <c r="F30" i="9"/>
  <c r="C27" i="9"/>
  <c r="D27" i="9"/>
  <c r="E27" i="9"/>
  <c r="F27" i="9"/>
  <c r="F25" i="9"/>
  <c r="C25" i="9"/>
  <c r="D25" i="9"/>
  <c r="E25" i="9"/>
  <c r="B25" i="9"/>
  <c r="C23" i="9"/>
  <c r="D23" i="9"/>
  <c r="E23" i="9"/>
  <c r="F23" i="9"/>
  <c r="D21" i="9"/>
  <c r="F21" i="9"/>
  <c r="B32" i="9"/>
  <c r="B30" i="9"/>
  <c r="B23" i="9"/>
  <c r="F32" i="9"/>
  <c r="E32" i="9"/>
  <c r="D32" i="9"/>
  <c r="C32" i="9"/>
  <c r="B8" i="9"/>
  <c r="B14" i="9"/>
  <c r="B13" i="9" s="1"/>
  <c r="C8" i="9"/>
  <c r="C7" i="9" s="1"/>
  <c r="B7" i="9"/>
  <c r="C18" i="9"/>
  <c r="D18" i="9"/>
  <c r="E18" i="9"/>
  <c r="F18" i="9"/>
  <c r="C16" i="9"/>
  <c r="D16" i="9"/>
  <c r="E16" i="9"/>
  <c r="F16" i="9"/>
  <c r="C13" i="9"/>
  <c r="D13" i="9"/>
  <c r="E13" i="9"/>
  <c r="F13" i="9"/>
  <c r="C11" i="9"/>
  <c r="D11" i="9"/>
  <c r="E11" i="9"/>
  <c r="F11" i="9"/>
  <c r="C9" i="9"/>
  <c r="D9" i="9"/>
  <c r="E9" i="9"/>
  <c r="F9" i="9"/>
  <c r="F7" i="9"/>
  <c r="B18" i="9"/>
  <c r="B16" i="9"/>
  <c r="B11" i="9"/>
  <c r="B9" i="9"/>
  <c r="D29" i="3"/>
  <c r="D28" i="3" s="1"/>
  <c r="D25" i="3"/>
  <c r="D26" i="3"/>
  <c r="D24" i="3"/>
  <c r="E25" i="3"/>
  <c r="E24" i="3"/>
  <c r="D15" i="3"/>
  <c r="D12" i="3"/>
  <c r="E18" i="3"/>
  <c r="F18" i="3"/>
  <c r="G18" i="3"/>
  <c r="H18" i="3"/>
  <c r="D18" i="3"/>
  <c r="E12" i="3"/>
  <c r="E15" i="3"/>
  <c r="E16" i="3"/>
  <c r="E28" i="3"/>
  <c r="F28" i="3"/>
  <c r="G28" i="3"/>
  <c r="H28" i="3"/>
  <c r="D16" i="3"/>
  <c r="G23" i="1"/>
  <c r="H23" i="1"/>
  <c r="I23" i="1"/>
  <c r="J23" i="1"/>
  <c r="F23" i="1"/>
  <c r="F27" i="1"/>
  <c r="F11" i="1"/>
  <c r="G14" i="1"/>
  <c r="I11" i="1"/>
  <c r="J11" i="1"/>
  <c r="G23" i="3" l="1"/>
  <c r="G22" i="3" s="1"/>
  <c r="H128" i="13"/>
  <c r="H127" i="13" s="1"/>
  <c r="H126" i="13" s="1"/>
  <c r="H120" i="13"/>
  <c r="H119" i="13" s="1"/>
  <c r="H118" i="13" s="1"/>
  <c r="H92" i="13"/>
  <c r="H91" i="13" s="1"/>
  <c r="E20" i="9"/>
  <c r="J20" i="9" s="1"/>
  <c r="H23" i="3"/>
  <c r="H22" i="3" s="1"/>
  <c r="G11" i="3"/>
  <c r="G10" i="3" s="1"/>
  <c r="L10" i="3" s="1"/>
  <c r="F8" i="10"/>
  <c r="F7" i="10" s="1"/>
  <c r="F6" i="10" s="1"/>
  <c r="K6" i="10" s="1"/>
  <c r="I14" i="1"/>
  <c r="E8" i="10" s="1"/>
  <c r="E7" i="10" s="1"/>
  <c r="E6" i="10" s="1"/>
  <c r="J6" i="10" s="1"/>
  <c r="H10" i="3"/>
  <c r="M10" i="3" s="1"/>
  <c r="H63" i="13"/>
  <c r="H26" i="13"/>
  <c r="H10" i="13" s="1"/>
  <c r="H9" i="13" s="1"/>
  <c r="H8" i="13" s="1"/>
  <c r="G63" i="13"/>
  <c r="E109" i="13"/>
  <c r="E108" i="13" s="1"/>
  <c r="E19" i="13" s="1"/>
  <c r="E18" i="13" s="1"/>
  <c r="E120" i="13"/>
  <c r="E119" i="13" s="1"/>
  <c r="E118" i="13" s="1"/>
  <c r="G26" i="13"/>
  <c r="D20" i="9"/>
  <c r="I20" i="9" s="1"/>
  <c r="F23" i="3"/>
  <c r="F22" i="3" s="1"/>
  <c r="D8" i="10"/>
  <c r="D7" i="10" s="1"/>
  <c r="D6" i="10" s="1"/>
  <c r="I6" i="10" s="1"/>
  <c r="F11" i="3"/>
  <c r="F10" i="3" s="1"/>
  <c r="K10" i="3" s="1"/>
  <c r="F128" i="13"/>
  <c r="F127" i="13" s="1"/>
  <c r="F126" i="13" s="1"/>
  <c r="F120" i="13"/>
  <c r="F119" i="13" s="1"/>
  <c r="F118" i="13" s="1"/>
  <c r="F109" i="13"/>
  <c r="F108" i="13" s="1"/>
  <c r="F19" i="13" s="1"/>
  <c r="F18" i="13" s="1"/>
  <c r="F92" i="13"/>
  <c r="F91" i="13" s="1"/>
  <c r="F63" i="13"/>
  <c r="I128" i="13"/>
  <c r="I127" i="13" s="1"/>
  <c r="I126" i="13" s="1"/>
  <c r="F26" i="13"/>
  <c r="F25" i="13" s="1"/>
  <c r="F24" i="13" s="1"/>
  <c r="I92" i="13"/>
  <c r="I91" i="13" s="1"/>
  <c r="H16" i="13"/>
  <c r="I14" i="13"/>
  <c r="I13" i="13" s="1"/>
  <c r="I84" i="13"/>
  <c r="H84" i="13"/>
  <c r="H14" i="13"/>
  <c r="H13" i="13" s="1"/>
  <c r="G84" i="13"/>
  <c r="G14" i="13"/>
  <c r="G13" i="13" s="1"/>
  <c r="F84" i="13"/>
  <c r="F14" i="13"/>
  <c r="F13" i="13" s="1"/>
  <c r="I63" i="13"/>
  <c r="I26" i="13"/>
  <c r="I25" i="13" s="1"/>
  <c r="I24" i="13" s="1"/>
  <c r="G17" i="13"/>
  <c r="H17" i="13"/>
  <c r="I17" i="13"/>
  <c r="E63" i="13"/>
  <c r="E128" i="13"/>
  <c r="E127" i="13" s="1"/>
  <c r="E126" i="13" s="1"/>
  <c r="E26" i="13"/>
  <c r="E25" i="13" s="1"/>
  <c r="E24" i="13" s="1"/>
  <c r="E92" i="13"/>
  <c r="E14" i="13"/>
  <c r="E13" i="13" s="1"/>
  <c r="F20" i="9"/>
  <c r="K20" i="9" s="1"/>
  <c r="C20" i="9"/>
  <c r="H20" i="9" s="1"/>
  <c r="B20" i="9"/>
  <c r="G20" i="9" s="1"/>
  <c r="E6" i="9"/>
  <c r="B6" i="9"/>
  <c r="D6" i="9"/>
  <c r="C6" i="9"/>
  <c r="F6" i="9"/>
  <c r="J15" i="1"/>
  <c r="J27" i="1" s="1"/>
  <c r="H15" i="1"/>
  <c r="H27" i="1" s="1"/>
  <c r="D11" i="3"/>
  <c r="D10" i="3" s="1"/>
  <c r="I10" i="3" s="1"/>
  <c r="E23" i="3"/>
  <c r="E22" i="3" s="1"/>
  <c r="D23" i="3"/>
  <c r="D22" i="3" s="1"/>
  <c r="I22" i="3" s="1"/>
  <c r="E11" i="3"/>
  <c r="E10" i="3" s="1"/>
  <c r="J10" i="3" s="1"/>
  <c r="F14" i="1"/>
  <c r="G11" i="1"/>
  <c r="G25" i="13" l="1"/>
  <c r="G24" i="13" s="1"/>
  <c r="G10" i="13"/>
  <c r="G9" i="13" s="1"/>
  <c r="I15" i="1"/>
  <c r="I27" i="1" s="1"/>
  <c r="I12" i="13"/>
  <c r="I11" i="13" s="1"/>
  <c r="I62" i="13"/>
  <c r="I61" i="13" s="1"/>
  <c r="N6" i="13" s="1"/>
  <c r="G12" i="13"/>
  <c r="G11" i="13" s="1"/>
  <c r="G62" i="13"/>
  <c r="G61" i="13" s="1"/>
  <c r="L6" i="13" s="1"/>
  <c r="E62" i="13"/>
  <c r="E12" i="13"/>
  <c r="E11" i="13" s="1"/>
  <c r="F12" i="13"/>
  <c r="F11" i="13" s="1"/>
  <c r="F62" i="13"/>
  <c r="F61" i="13" s="1"/>
  <c r="K6" i="13" s="1"/>
  <c r="H62" i="13"/>
  <c r="H12" i="13"/>
  <c r="H11" i="13" s="1"/>
  <c r="H61" i="13"/>
  <c r="H25" i="13"/>
  <c r="H24" i="13" s="1"/>
  <c r="H23" i="13" s="1"/>
  <c r="H22" i="13" s="1"/>
  <c r="H30" i="3"/>
  <c r="E30" i="3"/>
  <c r="F30" i="3"/>
  <c r="F17" i="13"/>
  <c r="H15" i="13"/>
  <c r="H7" i="13" s="1"/>
  <c r="M7" i="13" s="1"/>
  <c r="E17" i="13"/>
  <c r="E16" i="13"/>
  <c r="I10" i="13"/>
  <c r="I9" i="13" s="1"/>
  <c r="H6" i="9"/>
  <c r="C34" i="9"/>
  <c r="K6" i="9"/>
  <c r="F34" i="9"/>
  <c r="J6" i="9"/>
  <c r="E34" i="9"/>
  <c r="I6" i="9"/>
  <c r="D34" i="9"/>
  <c r="F10" i="13"/>
  <c r="I16" i="13"/>
  <c r="I15" i="13" s="1"/>
  <c r="G16" i="13"/>
  <c r="G15" i="13" s="1"/>
  <c r="F16" i="13"/>
  <c r="F15" i="13" s="1"/>
  <c r="E10" i="13"/>
  <c r="E91" i="13"/>
  <c r="I23" i="13"/>
  <c r="I22" i="13" s="1"/>
  <c r="E61" i="13"/>
  <c r="F23" i="13"/>
  <c r="F22" i="13" s="1"/>
  <c r="E23" i="13"/>
  <c r="E22" i="13" s="1"/>
  <c r="G15" i="1"/>
  <c r="G27" i="1" s="1"/>
  <c r="M22" i="3"/>
  <c r="J22" i="3"/>
  <c r="K22" i="3"/>
  <c r="L22" i="3"/>
  <c r="G30" i="3"/>
  <c r="G8" i="13" l="1"/>
  <c r="G7" i="13" s="1"/>
  <c r="L7" i="13" s="1"/>
  <c r="I8" i="13"/>
  <c r="I7" i="13" s="1"/>
  <c r="N7" i="13" s="1"/>
  <c r="M6" i="13"/>
  <c r="E15" i="13"/>
  <c r="F7" i="13"/>
  <c r="K7" i="13" s="1"/>
  <c r="E9" i="13"/>
  <c r="E8" i="13" l="1"/>
  <c r="E7" i="13" s="1"/>
  <c r="J7" i="13" s="1"/>
  <c r="G23" i="13"/>
  <c r="G22" i="13" l="1"/>
</calcChain>
</file>

<file path=xl/sharedStrings.xml><?xml version="1.0" encoding="utf-8"?>
<sst xmlns="http://schemas.openxmlformats.org/spreadsheetml/2006/main" count="330" uniqueCount="177">
  <si>
    <t>PRIHODI UKUPNO</t>
  </si>
  <si>
    <t>RASHODI UKUPNO</t>
  </si>
  <si>
    <t>RAZLIKA - VIŠAK / MANJAK</t>
  </si>
  <si>
    <t>NETO FINANCIRANJE</t>
  </si>
  <si>
    <t>VIŠAK / MANJAK + NETO FINANCIRANJE</t>
  </si>
  <si>
    <t xml:space="preserve">A. RAČUN PRIHODA I RASHODA </t>
  </si>
  <si>
    <t>Prihodi poslovanja</t>
  </si>
  <si>
    <t>Rashodi poslovanja</t>
  </si>
  <si>
    <t>Rashodi za zaposlene</t>
  </si>
  <si>
    <t>Rashodi za nabavu nefinancijske imovine</t>
  </si>
  <si>
    <t>BROJČANA OZNAKA I NAZIV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</si>
  <si>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</si>
  <si>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</si>
  <si>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</si>
  <si>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</si>
  <si>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</si>
  <si>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Materijalni rashodi</t>
  </si>
  <si>
    <t>Primici od zaduživanja</t>
  </si>
  <si>
    <t>Izdaci za otplatu glavnice primljenih kredita i zajmova</t>
  </si>
  <si>
    <t>Pomoći iz inozemstva i od subjekata unutar općeg proračuna</t>
  </si>
  <si>
    <t>…</t>
  </si>
  <si>
    <t>PRIJENOS SREDSTAVA IZ PRETHODNE GODINE</t>
  </si>
  <si>
    <t>1 Opći prihodi i primici</t>
  </si>
  <si>
    <t>11 Opći prihodi i primici</t>
  </si>
  <si>
    <t>12 Sredstva učešća za pomoći</t>
  </si>
  <si>
    <t>….</t>
  </si>
  <si>
    <t>2 Doprinosi</t>
  </si>
  <si>
    <t>21 Doprinosi za mirovinsko osiguranje</t>
  </si>
  <si>
    <t>3 Vlastiti prihodi</t>
  </si>
  <si>
    <t>31 Vlastiti prihodi</t>
  </si>
  <si>
    <t>FINANCIJSKI PLAN PRORAČUNSKOG KORISNIKA DRŽAVNOG PRORAČUNA
ZA 2023. I PROJEKCIJE ZA 2024. I 2025. GODINU</t>
  </si>
  <si>
    <t>A. SAŽETAK RAČUNA PRIHODA I RASHODA</t>
  </si>
  <si>
    <t>B. SAŽETAK RAČUNA FINANCIRANJA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</si>
  <si>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</si>
  <si>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</si>
  <si>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</si>
  <si>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</si>
  <si>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</si>
  <si>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</si>
  <si>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RAZLIKA PRIMITAKA I IZDATAKA</t>
  </si>
  <si>
    <t>PRIJENOS SREDSTAVA U SLJEDEĆE RAZDOBLJE</t>
  </si>
  <si>
    <t>Napomena:  Iznosi u stupcu "Izvršenje 2022." preračunavaju se iz kuna u eure prema fiksnom tečaju konverzije (1 EUR=7,53450 kuna) i po pravilima za preračunavanje i zaokruživanje.</t>
  </si>
  <si>
    <t>IZVRŠENJE
2022.</t>
  </si>
  <si>
    <t>TEKUĆI PLAN
2023.</t>
  </si>
  <si>
    <t>PLAN 
ZA 2024.</t>
  </si>
  <si>
    <t>PROJEKCIJA 
ZA 2025.</t>
  </si>
  <si>
    <t>PROJEKCIJA 
ZA 2026.</t>
  </si>
  <si>
    <t>A1. PRIHODI I RASHODI PREMA EKONOMSKOJ KLASIFIKACIJI</t>
  </si>
  <si>
    <t>A2. PRIHODI I RASHODI PREMA IZVORIMA FINANCIRANJA</t>
  </si>
  <si>
    <t>UKUPNO PRIHODI</t>
  </si>
  <si>
    <t>UKUPNO RASHODI</t>
  </si>
  <si>
    <t>A3. RASHODI PREMA FUNKCIJSKOJ KLASIFIKACIJI</t>
  </si>
  <si>
    <t>B1. RAČUN FINANCIRANJA PREMA EKONOMSKOJ KLASIFIKACIJI</t>
  </si>
  <si>
    <t>B2. RAČUN FINANCIRANJA PREMA IZVORIMA FINANCIRANJA</t>
  </si>
  <si>
    <t>UKUPNO PRIMICI</t>
  </si>
  <si>
    <t xml:space="preserve">UKUPNO IZDACI </t>
  </si>
  <si>
    <t xml:space="preserve">BROJČANA OZNAKA PRORAČUNSKOG KORISNIKA </t>
  </si>
  <si>
    <t xml:space="preserve">NAZIV PRORAČUNSKOG KORISNIKA </t>
  </si>
  <si>
    <t xml:space="preserve">BROJČANA OZNAKA IZVORA FINANCIRANJA AA </t>
  </si>
  <si>
    <t>NAZIV IZVORA FINANCIRANJA AA</t>
  </si>
  <si>
    <t>BROJČANA OZNAKA IZVORA FINANCIRANJA  AB</t>
  </si>
  <si>
    <t>NAZIV IZVORA FINANCIRANJA AB</t>
  </si>
  <si>
    <t>BROJČANA OZNAKA PROGRAMA Y</t>
  </si>
  <si>
    <t>NAZIV PROGRAMA Y</t>
  </si>
  <si>
    <t>BROJČANA OZNAKA AKTIVNOSTI/PROJEKTA Z</t>
  </si>
  <si>
    <t>NAZIV AKTIVNOSTI Z</t>
  </si>
  <si>
    <t xml:space="preserve">BROJČANA OZNAKA Skupine ekonomske klasifikacije (rashod/izdatak) </t>
  </si>
  <si>
    <t>NAZIV SKUPINE (RASHODA/IZDATKA)</t>
  </si>
  <si>
    <t>BROJČANA OZNAKA PROGRAMA D</t>
  </si>
  <si>
    <t>NAZIV PROGRAMA D</t>
  </si>
  <si>
    <t>BROJČANA OZNAKA GLAVNOG PROGRAMA X</t>
  </si>
  <si>
    <t>NAZIV GLAVNOG PROGRAMA X</t>
  </si>
  <si>
    <t>Prihodi od imovine</t>
  </si>
  <si>
    <t>Prihodi od upravnih i administrativnih pristojbi, pristojbi po posebnim propisima i naknada</t>
  </si>
  <si>
    <t>Prihodi od prodaje proizvoda i robe te pruženih usluga i prihodi od donacija</t>
  </si>
  <si>
    <t>Prihodi iz nadležnog proračuna i od HZZO-a</t>
  </si>
  <si>
    <t>Kazne, upravne mjere i ostali prihodi</t>
  </si>
  <si>
    <t>Financijski rashodi</t>
  </si>
  <si>
    <t>Pomoći dane u inozemstvo i unutar općeg proračuna</t>
  </si>
  <si>
    <t>Rashodi za nabavu proizvedene dugotrajne imovine</t>
  </si>
  <si>
    <t>Prihodi od prodaje nefinancijske imovine</t>
  </si>
  <si>
    <t>Prihodi od prodaje proizvedene dugotrajne imovine</t>
  </si>
  <si>
    <t>43 Ostali prihodi za posebne namjene</t>
  </si>
  <si>
    <t>52 Ostale pomoći</t>
  </si>
  <si>
    <t>4 Prihodi za posebne namjene</t>
  </si>
  <si>
    <t>5 Pomoći</t>
  </si>
  <si>
    <t>7 Prihodi od prodaje ili zamjene nefinancijske imovine i naknade s naslova osiguranja</t>
  </si>
  <si>
    <t xml:space="preserve">  71 Prihodi od prodaje ili zamjene nefinancijske imovine i naknade s naslova osiguranja</t>
  </si>
  <si>
    <t>6 Donacije</t>
  </si>
  <si>
    <t xml:space="preserve">  61 Donacije</t>
  </si>
  <si>
    <t>56 Fondovi EU</t>
  </si>
  <si>
    <t>05 Zaštita okoliša</t>
  </si>
  <si>
    <t>054 Zaštita bioraznolikosti i krajolika</t>
  </si>
  <si>
    <t>NACIONALNI PARKOVI I PARKOVI PRIRODE</t>
  </si>
  <si>
    <t>JAVNA USTANOVA PARK PRIRODE ŽUMBERAK -SAMOBORSKO GORJE</t>
  </si>
  <si>
    <t>Izvor 1</t>
  </si>
  <si>
    <t>Opći proračun</t>
  </si>
  <si>
    <t>Izvor 11</t>
  </si>
  <si>
    <t xml:space="preserve">  Opći prihodi i primici</t>
  </si>
  <si>
    <t>Izvor 3</t>
  </si>
  <si>
    <t>Vlastiti prihodi</t>
  </si>
  <si>
    <t>Izvor 31</t>
  </si>
  <si>
    <t>Izvor 4</t>
  </si>
  <si>
    <t>4 Prihodi posebne namjene</t>
  </si>
  <si>
    <t>Izvor 43</t>
  </si>
  <si>
    <t xml:space="preserve">  Ostali prihodi za posebne namjene</t>
  </si>
  <si>
    <t>Izvor 5</t>
  </si>
  <si>
    <t>Pomoći</t>
  </si>
  <si>
    <t>Izvor 52</t>
  </si>
  <si>
    <t>Izvor 6</t>
  </si>
  <si>
    <t>Donacije</t>
  </si>
  <si>
    <t>Izvor 61</t>
  </si>
  <si>
    <t xml:space="preserve">  Donacie</t>
  </si>
  <si>
    <t>Izvor 7</t>
  </si>
  <si>
    <t>Prihodi od prodaje ili zamjene nefinancijske imovine</t>
  </si>
  <si>
    <t>Izvor 71</t>
  </si>
  <si>
    <t>34 ZAŠTITA I OČUVANJE PRIRODE I OKOLIŠA</t>
  </si>
  <si>
    <t>PROGRAM  3401 ZAŠTITA PRIRODE</t>
  </si>
  <si>
    <t>A779000 Administracija i upravljanje</t>
  </si>
  <si>
    <t>Izvor: 1 Opći proračun</t>
  </si>
  <si>
    <t>Izvor: 11 Opći prihodi i primici</t>
  </si>
  <si>
    <t>31 Rashodi za zaposlene</t>
  </si>
  <si>
    <t>3111 Plaće za redovan rad</t>
  </si>
  <si>
    <t>3121 Ostali rashodi za zaposlene</t>
  </si>
  <si>
    <t>3132 Doprinosi za obvezno zdravstveno osiguranje</t>
  </si>
  <si>
    <t>32 Materijalni rashodi</t>
  </si>
  <si>
    <t>3211 Službena putovanja</t>
  </si>
  <si>
    <t>3212 Naknade za prijevoz, za rad na terenu i odvojeni život</t>
  </si>
  <si>
    <t>3213 Stručno usavršavanje zaposlenika</t>
  </si>
  <si>
    <t>3221 Uredski materijal i ostali materijalni rashodi</t>
  </si>
  <si>
    <t>3223 Energija</t>
  </si>
  <si>
    <t>3224 Materijal i dijelovi za tekuće i investicijsko održavanje</t>
  </si>
  <si>
    <t>3225 Sitni inventar i auto gume</t>
  </si>
  <si>
    <t>3227 Službena, radna i zaštitna odjeća i obuća</t>
  </si>
  <si>
    <t>3231 Usluge telefona, pošte i prijevoza</t>
  </si>
  <si>
    <t>3232 Usluge tekućeg i investicijskog održavanja</t>
  </si>
  <si>
    <t>3233 Usluge promidžbe i informiranja</t>
  </si>
  <si>
    <t>3234 Komunalne usluge</t>
  </si>
  <si>
    <t>3235 Zakupnine i najamnine</t>
  </si>
  <si>
    <t>3236 Zdravstvene i veterinarske usluge</t>
  </si>
  <si>
    <t>3237 Intelektualne i osobne usluge</t>
  </si>
  <si>
    <t>3238 Računalne usluge</t>
  </si>
  <si>
    <t>3239 Ostale usluge</t>
  </si>
  <si>
    <t>3291 Naknade za rad predstavničkih i izvršnih tijela, povjerenstava i slično</t>
  </si>
  <si>
    <t>3292 Premije osiguranja</t>
  </si>
  <si>
    <t>3294 Članarine</t>
  </si>
  <si>
    <t>3299 Ostali nespomenuti rashodi poslovanja</t>
  </si>
  <si>
    <t>34 Financijski rashodi</t>
  </si>
  <si>
    <t>3431 Bankarske usluge i usluge platnog prometa</t>
  </si>
  <si>
    <t>A779021 Zaštita prirode</t>
  </si>
  <si>
    <t>A779047 ADMINISTRACIJA I UPRAVLJANJE (IZ EVIDENCIJSKIH PRIHODA)</t>
  </si>
  <si>
    <t>Izvor: 3 Vlastiti prihodi</t>
  </si>
  <si>
    <t>Izvor: 31 Vlastiti prihodi</t>
  </si>
  <si>
    <t>3293 Reprezentacija</t>
  </si>
  <si>
    <t>Izvor: 4 Prihodi posebne namjene</t>
  </si>
  <si>
    <t>Izvor: 43 Ostali prihodi za posebne namjene</t>
  </si>
  <si>
    <t>Izvor: 5 Pomoći</t>
  </si>
  <si>
    <t>Izvor: 52 Ostale pomoći</t>
  </si>
  <si>
    <t>42 Rashodi za nabavu proizvedene dugotrajne imovine</t>
  </si>
  <si>
    <t>4227 Uređaji, strojevi i oprema za ostale namjene</t>
  </si>
  <si>
    <t>BROJČANA OZNAKA</t>
  </si>
  <si>
    <t>NAZIV</t>
  </si>
  <si>
    <t xml:space="preserve">  Ostale pomoć</t>
  </si>
  <si>
    <t>3222 Materijal i sirovine</t>
  </si>
  <si>
    <t>3294 Zatezne kamate</t>
  </si>
  <si>
    <t>4231 Prijevozna sredstva u cestovnom prometu</t>
  </si>
  <si>
    <t>3241 Naknade troškova osobama izvan radnog odnosa</t>
  </si>
  <si>
    <t>Izvor: 6 Donacije</t>
  </si>
  <si>
    <t>Izvor: 61 Donacije</t>
  </si>
  <si>
    <t>Izvor: 7 Prihodi od prodaje ili zamjene nefinancijske imovine i naknade s naslova osiguranja</t>
  </si>
  <si>
    <t>Izvor: 71 Prihodi od prodaje ili zamjene nefinancijske imovine i naknade s naslova osiguranja</t>
  </si>
  <si>
    <t>Izvor: 56 Fondovi EU</t>
  </si>
  <si>
    <t>K779040 OPERATIVNI PROGRAM KONKURENTNOST I KOHEZIJA</t>
  </si>
  <si>
    <t>K779053 OPERATIVNI PROGRAM KONKURENTNOST I KOHEZIJA ( IZ EVIDENCIJSKIH PRIHODA )</t>
  </si>
  <si>
    <t>3691 Tekući prijenosi između proračunskih korisnika istog proračuna</t>
  </si>
  <si>
    <t>Izvor 56</t>
  </si>
  <si>
    <t xml:space="preserve">  Fondovi 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</si>
</sst>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k_n_-;\-* #,##0.00\ _k_n_-;_-* &quot;-&quot;??\ _k_n_-;_-@_-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144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11" fillId="2" borderId="3" xfId="0" applyFont="1" applyFill="1" applyBorder="1" applyAlignment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Font="1" applyAlignment="1">
      <alignment horizontal="left" wrapText="1"/>
    </xf>
    <xf numFmtId="0" fontId="8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0" fontId="11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14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 wrapText="1"/>
    </xf>
    <xf numFmtId="0" fontId="10" fillId="2" borderId="3" xfId="0" quotePrefix="1" applyFont="1" applyFill="1" applyBorder="1" applyAlignment="1">
      <alignment horizontal="left" vertical="center" wrapText="1" indent="1"/>
    </xf>
    <xf numFmtId="0" fontId="10" fillId="2" borderId="3" xfId="0" applyFont="1" applyFill="1" applyBorder="1" applyAlignment="1">
      <alignment horizontal="left" vertical="center" indent="1"/>
    </xf>
    <xf numFmtId="0" fontId="10" fillId="2" borderId="3" xfId="0" applyFont="1" applyFill="1" applyBorder="1" applyAlignment="1">
      <alignment horizontal="left" vertical="center" wrapText="1" indent="1"/>
    </xf>
    <xf numFmtId="0" fontId="13" fillId="0" borderId="0" xfId="0" applyFont="1" applyAlignment="1">
      <alignment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3" xfId="0" quotePrefix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6" fillId="0" borderId="0" xfId="0" applyFont="1"/>
    <xf numFmtId="0" fontId="0" fillId="0" borderId="3" xfId="0" applyBorder="1"/>
    <xf numFmtId="0" fontId="15" fillId="3" borderId="4" xfId="0" applyFont="1" applyFill="1" applyBorder="1" applyAlignment="1">
      <alignment horizontal="center" vertical="center" wrapText="1"/>
    </xf>
    <xf numFmtId="0" fontId="15" fillId="3" borderId="3" xfId="0" quotePrefix="1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vertical="center" wrapText="1"/>
    </xf>
    <xf numFmtId="43" fontId="9" fillId="0" borderId="3" xfId="1" applyFont="1" applyBorder="1" applyAlignment="1">
      <alignment vertical="center"/>
    </xf>
    <xf numFmtId="43" fontId="9" fillId="3" borderId="3" xfId="1" applyFont="1" applyFill="1" applyBorder="1" applyAlignment="1">
      <alignment vertical="center"/>
    </xf>
    <xf numFmtId="43" fontId="9" fillId="0" borderId="3" xfId="1" applyFont="1" applyBorder="1" applyAlignment="1">
      <alignment vertical="center" wrapText="1"/>
    </xf>
    <xf numFmtId="43" fontId="6" fillId="0" borderId="3" xfId="1" applyFont="1" applyBorder="1" applyAlignment="1"/>
    <xf numFmtId="43" fontId="9" fillId="3" borderId="3" xfId="1" applyFont="1" applyFill="1" applyBorder="1" applyAlignment="1">
      <alignment vertical="center" wrapText="1"/>
    </xf>
    <xf numFmtId="43" fontId="11" fillId="0" borderId="3" xfId="1" applyFont="1" applyBorder="1" applyAlignment="1">
      <alignment vertical="center" wrapText="1"/>
    </xf>
    <xf numFmtId="43" fontId="6" fillId="0" borderId="3" xfId="1" quotePrefix="1" applyFont="1" applyBorder="1" applyAlignment="1">
      <alignment wrapText="1"/>
    </xf>
    <xf numFmtId="43" fontId="6" fillId="3" borderId="3" xfId="1" applyFont="1" applyFill="1" applyBorder="1" applyAlignment="1"/>
    <xf numFmtId="43" fontId="11" fillId="2" borderId="3" xfId="1" applyFont="1" applyFill="1" applyBorder="1" applyAlignment="1">
      <alignment horizontal="left" vertical="center" wrapText="1"/>
    </xf>
    <xf numFmtId="43" fontId="3" fillId="2" borderId="3" xfId="1" applyFont="1" applyFill="1" applyBorder="1" applyAlignment="1">
      <alignment horizontal="right"/>
    </xf>
    <xf numFmtId="43" fontId="9" fillId="2" borderId="3" xfId="1" applyFont="1" applyFill="1" applyBorder="1" applyAlignment="1">
      <alignment horizontal="left" vertical="center" wrapText="1"/>
    </xf>
    <xf numFmtId="43" fontId="9" fillId="2" borderId="3" xfId="1" quotePrefix="1" applyFont="1" applyFill="1" applyBorder="1" applyAlignment="1">
      <alignment horizontal="left" vertical="center"/>
    </xf>
    <xf numFmtId="43" fontId="11" fillId="2" borderId="3" xfId="1" applyFont="1" applyFill="1" applyBorder="1" applyAlignment="1">
      <alignment vertical="center" wrapText="1"/>
    </xf>
    <xf numFmtId="43" fontId="9" fillId="2" borderId="3" xfId="1" applyFont="1" applyFill="1" applyBorder="1" applyAlignment="1">
      <alignment vertical="center" wrapText="1"/>
    </xf>
    <xf numFmtId="43" fontId="3" fillId="2" borderId="3" xfId="1" applyFont="1" applyFill="1" applyBorder="1" applyAlignment="1">
      <alignment horizontal="right" wrapText="1"/>
    </xf>
    <xf numFmtId="0" fontId="5" fillId="0" borderId="0" xfId="0" applyFont="1" applyAlignment="1">
      <alignment horizontal="center" vertical="center" wrapText="1"/>
    </xf>
    <xf numFmtId="164" fontId="0" fillId="0" borderId="0" xfId="0" applyNumberFormat="1"/>
    <xf numFmtId="0" fontId="10" fillId="2" borderId="3" xfId="0" applyFont="1" applyFill="1" applyBorder="1" applyAlignment="1">
      <alignment horizontal="left" vertical="center" wrapText="1"/>
    </xf>
    <xf numFmtId="43" fontId="0" fillId="0" borderId="0" xfId="0" applyNumberFormat="1"/>
    <xf numFmtId="0" fontId="3" fillId="0" borderId="0" xfId="0" applyFont="1" applyAlignment="1">
      <alignment horizontal="center" vertical="center" wrapText="1"/>
    </xf>
    <xf numFmtId="0" fontId="19" fillId="0" borderId="0" xfId="0" applyFont="1"/>
    <xf numFmtId="0" fontId="6" fillId="3" borderId="4" xfId="0" applyFont="1" applyFill="1" applyBorder="1" applyAlignment="1">
      <alignment horizontal="left" vertical="center" wrapText="1"/>
    </xf>
    <xf numFmtId="4" fontId="6" fillId="3" borderId="3" xfId="0" applyNumberFormat="1" applyFont="1" applyFill="1" applyBorder="1" applyAlignment="1">
      <alignment horizontal="right" vertical="center" wrapText="1"/>
    </xf>
    <xf numFmtId="0" fontId="21" fillId="0" borderId="3" xfId="0" applyFont="1" applyBorder="1" applyAlignment="1">
      <alignment horizontal="left" wrapText="1"/>
    </xf>
    <xf numFmtId="4" fontId="21" fillId="2" borderId="3" xfId="0" applyNumberFormat="1" applyFont="1" applyFill="1" applyBorder="1" applyAlignment="1">
      <alignment wrapText="1"/>
    </xf>
    <xf numFmtId="0" fontId="19" fillId="0" borderId="3" xfId="0" applyFont="1" applyBorder="1" applyAlignment="1">
      <alignment horizontal="left" wrapText="1"/>
    </xf>
    <xf numFmtId="4" fontId="19" fillId="2" borderId="3" xfId="0" applyNumberFormat="1" applyFont="1" applyFill="1" applyBorder="1" applyAlignment="1">
      <alignment wrapText="1"/>
    </xf>
    <xf numFmtId="0" fontId="9" fillId="2" borderId="3" xfId="0" applyFont="1" applyFill="1" applyBorder="1" applyAlignment="1">
      <alignment horizontal="left" vertical="center" wrapText="1" indent="1"/>
    </xf>
    <xf numFmtId="0" fontId="22" fillId="0" borderId="3" xfId="0" applyFont="1" applyBorder="1" applyAlignment="1">
      <alignment horizontal="left" wrapText="1"/>
    </xf>
    <xf numFmtId="0" fontId="23" fillId="0" borderId="3" xfId="0" applyFont="1" applyBorder="1" applyAlignment="1">
      <alignment horizontal="left" wrapText="1"/>
    </xf>
    <xf numFmtId="4" fontId="22" fillId="0" borderId="3" xfId="0" applyNumberFormat="1" applyFont="1" applyBorder="1" applyAlignment="1">
      <alignment horizontal="right" wrapText="1"/>
    </xf>
    <xf numFmtId="4" fontId="21" fillId="3" borderId="3" xfId="0" applyNumberFormat="1" applyFont="1" applyFill="1" applyBorder="1" applyAlignment="1">
      <alignment wrapText="1"/>
    </xf>
    <xf numFmtId="4" fontId="19" fillId="0" borderId="0" xfId="0" applyNumberFormat="1" applyFont="1"/>
    <xf numFmtId="164" fontId="19" fillId="0" borderId="0" xfId="0" applyNumberFormat="1" applyFont="1"/>
    <xf numFmtId="43" fontId="3" fillId="0" borderId="3" xfId="1" applyFont="1" applyBorder="1" applyAlignment="1"/>
    <xf numFmtId="4" fontId="5" fillId="0" borderId="0" xfId="0" applyNumberFormat="1" applyFont="1" applyAlignment="1">
      <alignment horizontal="center" vertical="center" wrapText="1"/>
    </xf>
    <xf numFmtId="43" fontId="3" fillId="0" borderId="3" xfId="1" applyFont="1" applyBorder="1" applyAlignment="1">
      <alignment wrapText="1"/>
    </xf>
    <xf numFmtId="43" fontId="6" fillId="0" borderId="6" xfId="1" applyFont="1" applyFill="1" applyBorder="1" applyAlignment="1">
      <alignment wrapText="1"/>
    </xf>
    <xf numFmtId="0" fontId="15" fillId="0" borderId="3" xfId="0" quotePrefix="1" applyFont="1" applyBorder="1" applyAlignment="1">
      <alignment horizontal="center" vertical="center" wrapText="1"/>
    </xf>
    <xf numFmtId="0" fontId="11" fillId="3" borderId="1" xfId="0" quotePrefix="1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6" fillId="0" borderId="2" xfId="0" quotePrefix="1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/>
    </xf>
    <xf numFmtId="0" fontId="11" fillId="0" borderId="1" xfId="0" quotePrefix="1" applyFont="1" applyBorder="1" applyAlignment="1">
      <alignment horizontal="left" vertical="center"/>
    </xf>
    <xf numFmtId="0" fontId="9" fillId="0" borderId="2" xfId="0" applyFont="1" applyBorder="1" applyAlignment="1">
      <alignment vertical="center"/>
    </xf>
    <xf numFmtId="0" fontId="11" fillId="0" borderId="1" xfId="0" quotePrefix="1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wrapText="1"/>
    </xf>
    <xf numFmtId="0" fontId="23" fillId="0" borderId="2" xfId="0" applyFont="1" applyBorder="1"/>
    <xf numFmtId="0" fontId="19" fillId="0" borderId="4" xfId="0" applyFont="1" applyBorder="1"/>
    <xf numFmtId="0" fontId="21" fillId="2" borderId="1" xfId="0" applyFont="1" applyFill="1" applyBorder="1" applyAlignment="1">
      <alignment horizontal="left" wrapText="1"/>
    </xf>
    <xf numFmtId="0" fontId="22" fillId="0" borderId="2" xfId="0" applyFont="1" applyBorder="1"/>
    <xf numFmtId="0" fontId="21" fillId="0" borderId="4" xfId="0" applyFont="1" applyBorder="1"/>
    <xf numFmtId="0" fontId="19" fillId="2" borderId="2" xfId="0" applyFont="1" applyFill="1" applyBorder="1" applyAlignment="1">
      <alignment horizontal="left" wrapText="1"/>
    </xf>
    <xf numFmtId="0" fontId="19" fillId="2" borderId="4" xfId="0" applyFont="1" applyFill="1" applyBorder="1" applyAlignment="1">
      <alignment horizontal="left" wrapText="1"/>
    </xf>
    <xf numFmtId="0" fontId="21" fillId="3" borderId="1" xfId="0" applyFont="1" applyFill="1" applyBorder="1" applyAlignment="1">
      <alignment horizontal="left" wrapText="1"/>
    </xf>
    <xf numFmtId="0" fontId="22" fillId="3" borderId="2" xfId="0" applyFont="1" applyFill="1" applyBorder="1"/>
    <xf numFmtId="0" fontId="21" fillId="3" borderId="4" xfId="0" applyFont="1" applyFill="1" applyBorder="1"/>
    <xf numFmtId="0" fontId="20" fillId="0" borderId="0" xfId="0" applyFont="1" applyAlignment="1">
      <alignment horizontal="center"/>
    </xf>
    <xf numFmtId="0" fontId="6" fillId="3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9" fillId="2" borderId="3" xfId="0" applyFont="1" applyFill="1" applyBorder="1" applyAlignment="1">
      <alignment horizontal="left" vertical="center" wrapText="1"/>
    </xf>
    <xf numFmtId="0" fontId="19" fillId="0" borderId="3" xfId="0" applyFont="1" applyBorder="1" applyAlignment="1">
      <alignment horizontal="left" wrapText="1"/>
    </xf>
    <xf numFmtId="0" fontId="21" fillId="2" borderId="3" xfId="0" applyFont="1" applyFill="1" applyBorder="1" applyAlignment="1">
      <alignment horizontal="left" vertical="center" wrapText="1"/>
    </xf>
    <xf numFmtId="0" fontId="21" fillId="0" borderId="3" xfId="0" applyFont="1" applyBorder="1" applyAlignment="1">
      <alignment horizontal="left" wrapText="1"/>
    </xf>
    <xf numFmtId="0" fontId="21" fillId="2" borderId="1" xfId="0" applyFont="1" applyFill="1" applyBorder="1" applyAlignment="1">
      <alignment horizontal="left" vertical="center" wrapText="1"/>
    </xf>
    <xf numFmtId="0" fontId="21" fillId="0" borderId="2" xfId="0" applyFont="1" applyBorder="1" applyAlignment="1">
      <alignment horizontal="left" wrapText="1"/>
    </xf>
    <xf numFmtId="0" fontId="19" fillId="2" borderId="1" xfId="0" applyFont="1" applyFill="1" applyBorder="1" applyAlignment="1">
      <alignment horizontal="left" vertical="center" wrapText="1"/>
    </xf>
    <xf numFmtId="0" fontId="19" fillId="0" borderId="2" xfId="0" applyFont="1" applyBorder="1" applyAlignment="1">
      <alignment horizontal="left" wrapText="1"/>
    </xf>
    <xf numFmtId="2" fontId="21" fillId="2" borderId="3" xfId="0" applyNumberFormat="1" applyFont="1" applyFill="1" applyBorder="1" applyAlignment="1">
      <alignment horizontal="left" vertical="center" wrapText="1"/>
    </xf>
    <xf numFmtId="2" fontId="21" fillId="0" borderId="3" xfId="0" applyNumberFormat="1" applyFont="1" applyBorder="1" applyAlignment="1">
      <alignment horizontal="left" wrapText="1"/>
    </xf>
    <xf numFmtId="0" fontId="22" fillId="0" borderId="2" xfId="0" applyFont="1" applyBorder="1" applyAlignment="1">
      <alignment wrapText="1"/>
    </xf>
    <xf numFmtId="0" fontId="21" fillId="0" borderId="4" xfId="0" applyFont="1" applyBorder="1" applyAlignment="1">
      <alignment wrapText="1"/>
    </xf>
    <xf numFmtId="0" fontId="21" fillId="0" borderId="4" xfId="0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21" fillId="2" borderId="2" xfId="0" applyFont="1" applyFill="1" applyBorder="1" applyAlignment="1">
      <alignment horizontal="left" wrapText="1"/>
    </xf>
    <xf numFmtId="0" fontId="21" fillId="2" borderId="4" xfId="0" applyFont="1" applyFill="1" applyBorder="1" applyAlignment="1">
      <alignment horizontal="left" wrapText="1"/>
    </xf>
    <xf numFmtId="0" fontId="21" fillId="3" borderId="2" xfId="0" applyFont="1" applyFill="1" applyBorder="1"/>
    <xf numFmtId="0" fontId="21" fillId="2" borderId="2" xfId="0" applyFont="1" applyFill="1" applyBorder="1"/>
    <xf numFmtId="0" fontId="23" fillId="0" borderId="2" xfId="0" applyFont="1" applyBorder="1" applyAlignment="1">
      <alignment horizontal="left"/>
    </xf>
    <xf numFmtId="0" fontId="19" fillId="0" borderId="4" xfId="0" applyFont="1" applyBorder="1" applyAlignment="1">
      <alignment horizontal="left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0"/>
  <sheetViews>
    <sheetView workbookViewId="0">
      <selection activeCell="F16" sqref="F16"/>
    </sheetView>
  </sheetViews>
  <sheetFormatPr defaultRowHeight="15" x14ac:dyDescent="0.25"/>
  <cols>
    <col min="5" max="5" width="25.28515625" customWidth="1"/>
    <col min="6" max="10" width="19.42578125" customWidth="1"/>
    <col min="11" max="12" width="25.28515625" customWidth="1"/>
  </cols>
  <sheetData>
    <row r="1" spans="1:12" ht="42" customHeight="1" x14ac:dyDescent="0.25">
      <c r="A1" s="92" t="s">
        <v>30</v>
      </c>
      <c r="B1" s="92"/>
      <c r="C1" s="92"/>
      <c r="D1" s="92"/>
      <c r="E1" s="92"/>
      <c r="F1" s="92"/>
      <c r="G1" s="92"/>
      <c r="H1" s="92"/>
      <c r="I1" s="92"/>
      <c r="J1" s="92"/>
      <c r="K1" s="33"/>
      <c r="L1" s="33"/>
    </row>
    <row r="2" spans="1:12" ht="18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5.75" customHeight="1" x14ac:dyDescent="0.25">
      <c r="A3" s="92" t="s">
        <v>15</v>
      </c>
      <c r="B3" s="92"/>
      <c r="C3" s="92"/>
      <c r="D3" s="92"/>
      <c r="E3" s="92"/>
      <c r="F3" s="92"/>
      <c r="G3" s="92"/>
      <c r="H3" s="92"/>
      <c r="I3" s="92"/>
      <c r="J3" s="92"/>
      <c r="K3" s="31"/>
      <c r="L3" s="31"/>
    </row>
    <row r="4" spans="1:12" ht="18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6"/>
      <c r="L4" s="6"/>
    </row>
    <row r="5" spans="1:12" ht="18" customHeight="1" x14ac:dyDescent="0.25">
      <c r="A5" s="92" t="s">
        <v>31</v>
      </c>
      <c r="B5" s="92"/>
      <c r="C5" s="92"/>
      <c r="D5" s="92"/>
      <c r="E5" s="92"/>
      <c r="F5" s="92"/>
      <c r="G5" s="92"/>
      <c r="H5" s="92"/>
      <c r="I5" s="92"/>
      <c r="J5" s="92"/>
      <c r="K5" s="30"/>
      <c r="L5" s="30"/>
    </row>
    <row r="6" spans="1:12" ht="18" x14ac:dyDescent="0.25">
      <c r="A6" s="1"/>
      <c r="B6" s="2"/>
      <c r="C6" s="2"/>
      <c r="D6" s="2"/>
      <c r="E6" s="7"/>
      <c r="F6" s="7"/>
      <c r="G6" s="7"/>
      <c r="H6" s="8"/>
      <c r="I6" s="8"/>
      <c r="J6" s="23"/>
    </row>
    <row r="7" spans="1:12" ht="25.5" x14ac:dyDescent="0.25">
      <c r="A7" s="96" t="s">
        <v>10</v>
      </c>
      <c r="B7" s="97"/>
      <c r="C7" s="97"/>
      <c r="D7" s="97"/>
      <c r="E7" s="97"/>
      <c r="F7" s="35" t="s">
        <v>42</v>
      </c>
      <c r="G7" s="35" t="s">
        <v>43</v>
      </c>
      <c r="H7" s="4" t="s">
        <v>44</v>
      </c>
      <c r="I7" s="4" t="s">
        <v>45</v>
      </c>
      <c r="J7" s="4" t="s">
        <v>46</v>
      </c>
    </row>
    <row r="8" spans="1:12" ht="12" customHeight="1" x14ac:dyDescent="0.25">
      <c r="A8" s="87">
        <v>1</v>
      </c>
      <c r="B8" s="87"/>
      <c r="C8" s="87"/>
      <c r="D8" s="87"/>
      <c r="E8" s="87"/>
      <c r="F8" s="40">
        <v>2</v>
      </c>
      <c r="G8" s="40">
        <v>3</v>
      </c>
      <c r="H8" s="41">
        <v>4</v>
      </c>
      <c r="I8" s="41">
        <v>5</v>
      </c>
      <c r="J8" s="41">
        <v>6</v>
      </c>
    </row>
    <row r="9" spans="1:12" x14ac:dyDescent="0.25">
      <c r="A9" s="93" t="s">
        <v>33</v>
      </c>
      <c r="B9" s="95"/>
      <c r="C9" s="95"/>
      <c r="D9" s="95"/>
      <c r="E9" s="101"/>
      <c r="F9" s="49">
        <v>1044773.38</v>
      </c>
      <c r="G9" s="49">
        <v>472669</v>
      </c>
      <c r="H9" s="49">
        <f>732288+17745</f>
        <v>750033</v>
      </c>
      <c r="I9" s="49">
        <f>657060+21125</f>
        <v>678185</v>
      </c>
      <c r="J9" s="49">
        <f>777060+18167</f>
        <v>795227</v>
      </c>
    </row>
    <row r="10" spans="1:12" x14ac:dyDescent="0.25">
      <c r="A10" s="100" t="s">
        <v>34</v>
      </c>
      <c r="B10" s="101"/>
      <c r="C10" s="101"/>
      <c r="D10" s="101"/>
      <c r="E10" s="101"/>
      <c r="F10" s="49">
        <v>676.89</v>
      </c>
      <c r="G10" s="49">
        <v>0</v>
      </c>
      <c r="H10" s="49">
        <v>0</v>
      </c>
      <c r="I10" s="49">
        <v>0</v>
      </c>
      <c r="J10" s="49">
        <v>0</v>
      </c>
    </row>
    <row r="11" spans="1:12" x14ac:dyDescent="0.25">
      <c r="A11" s="98" t="s">
        <v>0</v>
      </c>
      <c r="B11" s="89"/>
      <c r="C11" s="89"/>
      <c r="D11" s="89"/>
      <c r="E11" s="99"/>
      <c r="F11" s="50">
        <f>F9+F10</f>
        <v>1045450.27</v>
      </c>
      <c r="G11" s="50">
        <f t="shared" ref="G11:J11" si="0">G9+G10</f>
        <v>472669</v>
      </c>
      <c r="H11" s="50">
        <f t="shared" si="0"/>
        <v>750033</v>
      </c>
      <c r="I11" s="50">
        <f t="shared" si="0"/>
        <v>678185</v>
      </c>
      <c r="J11" s="50">
        <f t="shared" si="0"/>
        <v>795227</v>
      </c>
    </row>
    <row r="12" spans="1:12" x14ac:dyDescent="0.25">
      <c r="A12" s="102" t="s">
        <v>35</v>
      </c>
      <c r="B12" s="95"/>
      <c r="C12" s="95"/>
      <c r="D12" s="95"/>
      <c r="E12" s="95"/>
      <c r="F12" s="51">
        <v>550898.39</v>
      </c>
      <c r="G12" s="51">
        <v>451980</v>
      </c>
      <c r="H12" s="83">
        <f>732288-4000+17745</f>
        <v>746033</v>
      </c>
      <c r="I12" s="83">
        <f>657060-4000-60000+21125</f>
        <v>614185</v>
      </c>
      <c r="J12" s="85">
        <f>777060-4000-40000+18167</f>
        <v>751227</v>
      </c>
    </row>
    <row r="13" spans="1:12" x14ac:dyDescent="0.25">
      <c r="A13" s="100" t="s">
        <v>36</v>
      </c>
      <c r="B13" s="101"/>
      <c r="C13" s="101"/>
      <c r="D13" s="101"/>
      <c r="E13" s="101"/>
      <c r="F13" s="49">
        <v>511636.03</v>
      </c>
      <c r="G13" s="49">
        <v>20689</v>
      </c>
      <c r="H13" s="83">
        <v>4000</v>
      </c>
      <c r="I13" s="83">
        <f>4000+60000</f>
        <v>64000</v>
      </c>
      <c r="J13" s="85">
        <v>44000</v>
      </c>
    </row>
    <row r="14" spans="1:12" x14ac:dyDescent="0.25">
      <c r="A14" s="24" t="s">
        <v>1</v>
      </c>
      <c r="B14" s="25"/>
      <c r="C14" s="25"/>
      <c r="D14" s="25"/>
      <c r="E14" s="25"/>
      <c r="F14" s="50">
        <f>F12+F13</f>
        <v>1062534.42</v>
      </c>
      <c r="G14" s="50">
        <f t="shared" ref="G14:J14" si="1">G12+G13</f>
        <v>472669</v>
      </c>
      <c r="H14" s="50">
        <f t="shared" si="1"/>
        <v>750033</v>
      </c>
      <c r="I14" s="50">
        <f t="shared" si="1"/>
        <v>678185</v>
      </c>
      <c r="J14" s="50">
        <f t="shared" si="1"/>
        <v>795227</v>
      </c>
    </row>
    <row r="15" spans="1:12" x14ac:dyDescent="0.25">
      <c r="A15" s="88" t="s">
        <v>2</v>
      </c>
      <c r="B15" s="89"/>
      <c r="C15" s="89"/>
      <c r="D15" s="89"/>
      <c r="E15" s="89"/>
      <c r="F15" s="53">
        <f>F11-F14</f>
        <v>-17084.149999999907</v>
      </c>
      <c r="G15" s="53">
        <f>G11-G14</f>
        <v>0</v>
      </c>
      <c r="H15" s="53">
        <f t="shared" ref="H15:J15" si="2">H11-H14</f>
        <v>0</v>
      </c>
      <c r="I15" s="53">
        <f t="shared" si="2"/>
        <v>0</v>
      </c>
      <c r="J15" s="53">
        <f t="shared" si="2"/>
        <v>0</v>
      </c>
    </row>
    <row r="16" spans="1:12" ht="18" x14ac:dyDescent="0.25">
      <c r="A16" s="5"/>
      <c r="B16" s="9"/>
      <c r="C16" s="9"/>
      <c r="D16" s="9"/>
      <c r="E16" s="9"/>
      <c r="F16" s="9"/>
      <c r="G16" s="9"/>
      <c r="H16" s="9"/>
      <c r="I16" s="9"/>
      <c r="J16" s="3"/>
      <c r="K16" s="3"/>
      <c r="L16" s="3"/>
    </row>
    <row r="17" spans="1:12" ht="18" customHeight="1" x14ac:dyDescent="0.25">
      <c r="A17" s="92" t="s">
        <v>32</v>
      </c>
      <c r="B17" s="92"/>
      <c r="C17" s="92"/>
      <c r="D17" s="92"/>
      <c r="E17" s="92"/>
      <c r="F17" s="92"/>
      <c r="G17" s="92"/>
      <c r="H17" s="92"/>
      <c r="I17" s="92"/>
      <c r="J17" s="92"/>
      <c r="K17" s="30"/>
      <c r="L17" s="30"/>
    </row>
    <row r="18" spans="1:12" ht="18" x14ac:dyDescent="0.25">
      <c r="A18" s="5"/>
      <c r="B18" s="9"/>
      <c r="C18" s="9"/>
      <c r="D18" s="9"/>
      <c r="E18" s="9"/>
      <c r="F18" s="9"/>
      <c r="G18" s="9"/>
      <c r="H18" s="3"/>
      <c r="I18" s="3"/>
      <c r="J18" s="3"/>
    </row>
    <row r="19" spans="1:12" ht="25.5" x14ac:dyDescent="0.25">
      <c r="A19" s="96" t="s">
        <v>10</v>
      </c>
      <c r="B19" s="97"/>
      <c r="C19" s="97"/>
      <c r="D19" s="97"/>
      <c r="E19" s="97"/>
      <c r="F19" s="35" t="s">
        <v>42</v>
      </c>
      <c r="G19" s="35" t="s">
        <v>43</v>
      </c>
      <c r="H19" s="4" t="s">
        <v>44</v>
      </c>
      <c r="I19" s="4" t="s">
        <v>45</v>
      </c>
      <c r="J19" s="4" t="s">
        <v>46</v>
      </c>
    </row>
    <row r="20" spans="1:12" ht="12" customHeight="1" x14ac:dyDescent="0.25">
      <c r="A20" s="87">
        <v>1</v>
      </c>
      <c r="B20" s="87"/>
      <c r="C20" s="87"/>
      <c r="D20" s="87"/>
      <c r="E20" s="87"/>
      <c r="F20" s="40">
        <v>2</v>
      </c>
      <c r="G20" s="40">
        <v>3</v>
      </c>
      <c r="H20" s="41">
        <v>4</v>
      </c>
      <c r="I20" s="41">
        <v>5</v>
      </c>
      <c r="J20" s="41">
        <v>6</v>
      </c>
    </row>
    <row r="21" spans="1:12" ht="15.75" customHeight="1" x14ac:dyDescent="0.25">
      <c r="A21" s="93" t="s">
        <v>37</v>
      </c>
      <c r="B21" s="94"/>
      <c r="C21" s="94"/>
      <c r="D21" s="94"/>
      <c r="E21" s="94"/>
      <c r="F21" s="54">
        <v>0</v>
      </c>
      <c r="G21" s="54">
        <v>0</v>
      </c>
      <c r="H21" s="52">
        <v>0</v>
      </c>
      <c r="I21" s="52">
        <v>0</v>
      </c>
      <c r="J21" s="52">
        <v>0</v>
      </c>
    </row>
    <row r="22" spans="1:12" x14ac:dyDescent="0.25">
      <c r="A22" s="93" t="s">
        <v>38</v>
      </c>
      <c r="B22" s="95"/>
      <c r="C22" s="95"/>
      <c r="D22" s="95"/>
      <c r="E22" s="95"/>
      <c r="F22" s="51">
        <v>0</v>
      </c>
      <c r="G22" s="51">
        <v>0</v>
      </c>
      <c r="H22" s="52">
        <v>0</v>
      </c>
      <c r="I22" s="52">
        <v>0</v>
      </c>
      <c r="J22" s="52">
        <v>0</v>
      </c>
    </row>
    <row r="23" spans="1:12" x14ac:dyDescent="0.25">
      <c r="A23" s="98" t="s">
        <v>39</v>
      </c>
      <c r="B23" s="89"/>
      <c r="C23" s="89"/>
      <c r="D23" s="89"/>
      <c r="E23" s="99"/>
      <c r="F23" s="50">
        <f>F21+F22</f>
        <v>0</v>
      </c>
      <c r="G23" s="50">
        <f t="shared" ref="G23:J23" si="3">G21+G22</f>
        <v>0</v>
      </c>
      <c r="H23" s="50">
        <f t="shared" si="3"/>
        <v>0</v>
      </c>
      <c r="I23" s="50">
        <f t="shared" si="3"/>
        <v>0</v>
      </c>
      <c r="J23" s="50">
        <f t="shared" si="3"/>
        <v>0</v>
      </c>
    </row>
    <row r="24" spans="1:12" x14ac:dyDescent="0.25">
      <c r="A24" s="90" t="s">
        <v>21</v>
      </c>
      <c r="B24" s="91"/>
      <c r="C24" s="91"/>
      <c r="D24" s="91"/>
      <c r="E24" s="91"/>
      <c r="F24" s="55">
        <v>20649.73</v>
      </c>
      <c r="G24" s="55">
        <v>3566</v>
      </c>
      <c r="H24" s="55">
        <v>3566</v>
      </c>
      <c r="I24" s="55">
        <v>3566</v>
      </c>
      <c r="J24" s="55">
        <v>3566</v>
      </c>
      <c r="K24" s="86"/>
    </row>
    <row r="25" spans="1:12" x14ac:dyDescent="0.25">
      <c r="A25" s="90" t="s">
        <v>40</v>
      </c>
      <c r="B25" s="91"/>
      <c r="C25" s="91"/>
      <c r="D25" s="91"/>
      <c r="E25" s="91"/>
      <c r="F25" s="55">
        <f>F15+F24</f>
        <v>3565.5800000000927</v>
      </c>
      <c r="G25" s="55">
        <v>-3566</v>
      </c>
      <c r="H25" s="55">
        <v>-3566</v>
      </c>
      <c r="I25" s="55">
        <v>-3566</v>
      </c>
      <c r="J25" s="55">
        <v>-3566</v>
      </c>
      <c r="K25" s="86"/>
    </row>
    <row r="26" spans="1:12" x14ac:dyDescent="0.25">
      <c r="A26" s="88" t="s">
        <v>3</v>
      </c>
      <c r="B26" s="89"/>
      <c r="C26" s="89"/>
      <c r="D26" s="89"/>
      <c r="E26" s="89"/>
      <c r="F26" s="53">
        <f>F24-F25</f>
        <v>17084.149999999907</v>
      </c>
      <c r="G26" s="53"/>
      <c r="H26" s="56">
        <v>0</v>
      </c>
      <c r="I26" s="56">
        <v>0</v>
      </c>
      <c r="J26" s="56">
        <v>0</v>
      </c>
      <c r="K26" s="65"/>
    </row>
    <row r="27" spans="1:12" x14ac:dyDescent="0.25">
      <c r="A27" s="88" t="s">
        <v>4</v>
      </c>
      <c r="B27" s="89"/>
      <c r="C27" s="89"/>
      <c r="D27" s="89"/>
      <c r="E27" s="89"/>
      <c r="F27" s="53">
        <f>F15+F26</f>
        <v>0</v>
      </c>
      <c r="G27" s="53">
        <f t="shared" ref="G27:J27" si="4">G15+G26</f>
        <v>0</v>
      </c>
      <c r="H27" s="53">
        <f t="shared" si="4"/>
        <v>0</v>
      </c>
      <c r="I27" s="53">
        <f t="shared" si="4"/>
        <v>0</v>
      </c>
      <c r="J27" s="53">
        <f t="shared" si="4"/>
        <v>0</v>
      </c>
    </row>
    <row r="28" spans="1:12" ht="11.25" customHeight="1" x14ac:dyDescent="0.25">
      <c r="A28" s="18"/>
      <c r="B28" s="19"/>
      <c r="C28" s="19"/>
      <c r="D28" s="19"/>
      <c r="E28" s="19"/>
      <c r="F28" s="19"/>
      <c r="G28" s="19"/>
      <c r="H28" s="20"/>
      <c r="I28" s="20"/>
      <c r="J28" s="20"/>
      <c r="K28" s="20"/>
      <c r="L28" s="20"/>
    </row>
    <row r="29" spans="1:12" ht="15" customHeight="1" x14ac:dyDescent="0.25">
      <c r="A29" s="36" t="s">
        <v>41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</row>
    <row r="30" spans="1:12" ht="9" customHeight="1" x14ac:dyDescent="0.25"/>
  </sheetData>
  <mergeCells count="21">
    <mergeCell ref="A1:J1"/>
    <mergeCell ref="A3:J3"/>
    <mergeCell ref="A5:J5"/>
    <mergeCell ref="A13:E13"/>
    <mergeCell ref="A15:E15"/>
    <mergeCell ref="A12:E12"/>
    <mergeCell ref="A11:E11"/>
    <mergeCell ref="A9:E9"/>
    <mergeCell ref="A10:E10"/>
    <mergeCell ref="A7:E7"/>
    <mergeCell ref="A8:E8"/>
    <mergeCell ref="A20:E20"/>
    <mergeCell ref="A27:E27"/>
    <mergeCell ref="A24:E24"/>
    <mergeCell ref="A25:E25"/>
    <mergeCell ref="A17:J17"/>
    <mergeCell ref="A21:E21"/>
    <mergeCell ref="A22:E22"/>
    <mergeCell ref="A26:E26"/>
    <mergeCell ref="A19:E19"/>
    <mergeCell ref="A23:E23"/>
  </mergeCells>
  <pageMargins left="0.7" right="0.7" top="0.75" bottom="0.75" header="0.3" footer="0.3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0"/>
  <sheetViews>
    <sheetView topLeftCell="A13" workbookViewId="0">
      <selection activeCell="F16" sqref="F16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44.7109375" customWidth="1"/>
    <col min="4" max="8" width="19.42578125" customWidth="1"/>
    <col min="9" max="13" width="16.140625" customWidth="1"/>
  </cols>
  <sheetData>
    <row r="1" spans="1:13" ht="18" x14ac:dyDescent="0.25">
      <c r="A1" s="5"/>
      <c r="B1" s="5"/>
      <c r="C1" s="5"/>
      <c r="D1" s="5"/>
      <c r="E1" s="5"/>
      <c r="F1" s="5"/>
      <c r="G1" s="5"/>
      <c r="H1" s="5"/>
      <c r="I1" s="5"/>
      <c r="J1" s="5"/>
    </row>
    <row r="2" spans="1:13" ht="15.75" x14ac:dyDescent="0.25">
      <c r="A2" s="92" t="s">
        <v>15</v>
      </c>
      <c r="B2" s="92"/>
      <c r="C2" s="92"/>
      <c r="D2" s="92"/>
      <c r="E2" s="92"/>
      <c r="F2" s="92"/>
      <c r="G2" s="92"/>
      <c r="H2" s="92"/>
      <c r="I2" s="31"/>
      <c r="J2" s="31"/>
    </row>
    <row r="3" spans="1:13" ht="18" x14ac:dyDescent="0.25">
      <c r="A3" s="5"/>
      <c r="B3" s="5"/>
      <c r="C3" s="5"/>
      <c r="D3" s="5"/>
      <c r="E3" s="5"/>
      <c r="F3" s="5"/>
      <c r="G3" s="5"/>
      <c r="H3" s="5"/>
      <c r="I3" s="6"/>
      <c r="J3" s="6"/>
    </row>
    <row r="4" spans="1:13" ht="15.75" x14ac:dyDescent="0.25">
      <c r="A4" s="92" t="s">
        <v>5</v>
      </c>
      <c r="B4" s="92"/>
      <c r="C4" s="92"/>
      <c r="D4" s="92"/>
      <c r="E4" s="92"/>
      <c r="F4" s="92"/>
      <c r="G4" s="92"/>
      <c r="H4" s="92"/>
      <c r="I4" s="30"/>
      <c r="J4" s="30"/>
    </row>
    <row r="5" spans="1:13" ht="18" x14ac:dyDescent="0.25">
      <c r="A5" s="5"/>
      <c r="B5" s="5"/>
      <c r="C5" s="5"/>
      <c r="D5" s="5"/>
      <c r="E5" s="5"/>
      <c r="F5" s="5"/>
      <c r="G5" s="5"/>
      <c r="H5" s="5"/>
      <c r="I5" s="6"/>
      <c r="J5" s="6"/>
    </row>
    <row r="6" spans="1:13" ht="15.75" x14ac:dyDescent="0.25">
      <c r="A6" s="92" t="s">
        <v>47</v>
      </c>
      <c r="B6" s="92"/>
      <c r="C6" s="92"/>
      <c r="D6" s="92"/>
      <c r="E6" s="92"/>
      <c r="F6" s="92"/>
      <c r="G6" s="92"/>
      <c r="H6" s="92"/>
      <c r="I6" s="32"/>
      <c r="J6" s="32"/>
    </row>
    <row r="7" spans="1:13" ht="18" x14ac:dyDescent="0.25">
      <c r="A7" s="5"/>
      <c r="B7" s="5"/>
      <c r="C7" s="5"/>
      <c r="D7" s="5"/>
      <c r="E7" s="5"/>
      <c r="F7" s="5"/>
      <c r="G7" s="5"/>
      <c r="H7" s="5"/>
      <c r="I7" s="6"/>
      <c r="J7" s="6"/>
    </row>
    <row r="8" spans="1:13" ht="25.5" x14ac:dyDescent="0.25">
      <c r="A8" s="103" t="s">
        <v>10</v>
      </c>
      <c r="B8" s="104"/>
      <c r="C8" s="105"/>
      <c r="D8" s="38" t="s">
        <v>42</v>
      </c>
      <c r="E8" s="38" t="s">
        <v>43</v>
      </c>
      <c r="F8" s="39" t="s">
        <v>44</v>
      </c>
      <c r="G8" s="39" t="s">
        <v>45</v>
      </c>
      <c r="H8" s="39" t="s">
        <v>46</v>
      </c>
    </row>
    <row r="9" spans="1:13" s="42" customFormat="1" ht="11.25" x14ac:dyDescent="0.2">
      <c r="A9" s="106">
        <v>1</v>
      </c>
      <c r="B9" s="107"/>
      <c r="C9" s="108"/>
      <c r="D9" s="45">
        <v>2</v>
      </c>
      <c r="E9" s="45">
        <v>3</v>
      </c>
      <c r="F9" s="46">
        <v>4</v>
      </c>
      <c r="G9" s="46">
        <v>5</v>
      </c>
      <c r="H9" s="46">
        <v>6</v>
      </c>
    </row>
    <row r="10" spans="1:13" x14ac:dyDescent="0.25">
      <c r="A10" s="12"/>
      <c r="B10" s="12"/>
      <c r="C10" s="12" t="s">
        <v>49</v>
      </c>
      <c r="D10" s="57">
        <f>+D11+D18</f>
        <v>1045450.2699999999</v>
      </c>
      <c r="E10" s="57">
        <f t="shared" ref="E10:H10" si="0">+E11+E18</f>
        <v>472669</v>
      </c>
      <c r="F10" s="57">
        <f t="shared" si="0"/>
        <v>750033</v>
      </c>
      <c r="G10" s="57">
        <f t="shared" si="0"/>
        <v>678185</v>
      </c>
      <c r="H10" s="57">
        <f t="shared" si="0"/>
        <v>795227</v>
      </c>
      <c r="I10" s="65">
        <f>SAŽETAK!F11-' Račun prihoda i rashoda-ekonom'!D10</f>
        <v>0</v>
      </c>
      <c r="J10" s="65">
        <f>E10-SAŽETAK!G11</f>
        <v>0</v>
      </c>
      <c r="K10" s="65">
        <f>F10-SAŽETAK!H11</f>
        <v>0</v>
      </c>
      <c r="L10" s="65">
        <f>G10-SAŽETAK!I11</f>
        <v>0</v>
      </c>
      <c r="M10" s="65">
        <f>H10-SAŽETAK!J11</f>
        <v>0</v>
      </c>
    </row>
    <row r="11" spans="1:13" x14ac:dyDescent="0.25">
      <c r="A11" s="12">
        <v>6</v>
      </c>
      <c r="B11" s="12"/>
      <c r="C11" s="12" t="s">
        <v>6</v>
      </c>
      <c r="D11" s="57">
        <f>SUM(D12:D17)</f>
        <v>1044773.3799999999</v>
      </c>
      <c r="E11" s="57">
        <f t="shared" ref="E11:H11" si="1">SUM(E12:E17)</f>
        <v>472669</v>
      </c>
      <c r="F11" s="57">
        <f t="shared" si="1"/>
        <v>750033</v>
      </c>
      <c r="G11" s="57">
        <f t="shared" si="1"/>
        <v>678185</v>
      </c>
      <c r="H11" s="57">
        <f t="shared" si="1"/>
        <v>795227</v>
      </c>
    </row>
    <row r="12" spans="1:13" ht="25.5" x14ac:dyDescent="0.25">
      <c r="A12" s="12"/>
      <c r="B12" s="15">
        <v>63</v>
      </c>
      <c r="C12" s="15" t="s">
        <v>19</v>
      </c>
      <c r="D12" s="59">
        <f>18440.18+16590.35+7964.13+663.61+18469.6+477399.23+144470</f>
        <v>683997.1</v>
      </c>
      <c r="E12" s="59">
        <f>5926+39036+41378+4622</f>
        <v>90962</v>
      </c>
      <c r="F12" s="58">
        <f>90606+44000+44000+4622</f>
        <v>183228</v>
      </c>
      <c r="G12" s="58">
        <f>88000</f>
        <v>88000</v>
      </c>
      <c r="H12" s="58">
        <v>88000</v>
      </c>
    </row>
    <row r="13" spans="1:13" x14ac:dyDescent="0.25">
      <c r="A13" s="12"/>
      <c r="B13" s="15">
        <v>64</v>
      </c>
      <c r="C13" s="15" t="s">
        <v>72</v>
      </c>
      <c r="D13" s="59">
        <v>2.66</v>
      </c>
      <c r="E13" s="59">
        <v>61</v>
      </c>
      <c r="F13" s="58">
        <v>10</v>
      </c>
      <c r="G13" s="58">
        <v>10</v>
      </c>
      <c r="H13" s="58">
        <v>10</v>
      </c>
    </row>
    <row r="14" spans="1:13" ht="25.5" x14ac:dyDescent="0.25">
      <c r="A14" s="12"/>
      <c r="B14" s="15">
        <v>65</v>
      </c>
      <c r="C14" s="15" t="s">
        <v>73</v>
      </c>
      <c r="D14" s="59">
        <v>8667.4599999999991</v>
      </c>
      <c r="E14" s="59">
        <v>51</v>
      </c>
      <c r="F14" s="58">
        <v>5000</v>
      </c>
      <c r="G14" s="58">
        <v>5000</v>
      </c>
      <c r="H14" s="58">
        <v>5000</v>
      </c>
    </row>
    <row r="15" spans="1:13" ht="25.5" x14ac:dyDescent="0.25">
      <c r="A15" s="12"/>
      <c r="B15" s="13">
        <v>66</v>
      </c>
      <c r="C15" s="15" t="s">
        <v>74</v>
      </c>
      <c r="D15" s="59">
        <f>4562.35+27156.99+2800.38</f>
        <v>34519.72</v>
      </c>
      <c r="E15" s="59">
        <f>40000+40900</f>
        <v>80900</v>
      </c>
      <c r="F15" s="58">
        <f>35000+4990</f>
        <v>39990</v>
      </c>
      <c r="G15" s="58">
        <f>14990+45000</f>
        <v>59990</v>
      </c>
      <c r="H15" s="58">
        <f>24990+55000</f>
        <v>79990</v>
      </c>
    </row>
    <row r="16" spans="1:13" x14ac:dyDescent="0.25">
      <c r="A16" s="13"/>
      <c r="B16" s="13">
        <v>67</v>
      </c>
      <c r="C16" s="15" t="s">
        <v>75</v>
      </c>
      <c r="D16" s="59">
        <f>308217.09+5308.91</f>
        <v>313526</v>
      </c>
      <c r="E16" s="59">
        <f>295308+1327</f>
        <v>296635</v>
      </c>
      <c r="F16" s="58">
        <f>480000+20000+17745</f>
        <v>517745</v>
      </c>
      <c r="G16" s="58">
        <f>480000+20000+21125</f>
        <v>521125</v>
      </c>
      <c r="H16" s="58">
        <f>480000+120000+18167</f>
        <v>618167</v>
      </c>
    </row>
    <row r="17" spans="1:13" x14ac:dyDescent="0.25">
      <c r="A17" s="13"/>
      <c r="B17" s="13">
        <v>68</v>
      </c>
      <c r="C17" s="15" t="s">
        <v>76</v>
      </c>
      <c r="D17" s="59">
        <v>4060.44</v>
      </c>
      <c r="E17" s="59">
        <v>4060</v>
      </c>
      <c r="F17" s="58">
        <v>4060</v>
      </c>
      <c r="G17" s="58">
        <v>4060</v>
      </c>
      <c r="H17" s="58">
        <v>4060</v>
      </c>
    </row>
    <row r="18" spans="1:13" x14ac:dyDescent="0.25">
      <c r="A18" s="12">
        <v>7</v>
      </c>
      <c r="B18" s="12"/>
      <c r="C18" s="12" t="s">
        <v>80</v>
      </c>
      <c r="D18" s="57">
        <f>+D19</f>
        <v>676.89</v>
      </c>
      <c r="E18" s="57">
        <f t="shared" ref="E18:H18" si="2">+E19</f>
        <v>0</v>
      </c>
      <c r="F18" s="57">
        <f t="shared" si="2"/>
        <v>0</v>
      </c>
      <c r="G18" s="57">
        <f t="shared" si="2"/>
        <v>0</v>
      </c>
      <c r="H18" s="57">
        <f t="shared" si="2"/>
        <v>0</v>
      </c>
    </row>
    <row r="19" spans="1:13" x14ac:dyDescent="0.25">
      <c r="A19" s="13"/>
      <c r="B19" s="13">
        <v>72</v>
      </c>
      <c r="C19" s="15" t="s">
        <v>81</v>
      </c>
      <c r="D19" s="59">
        <v>676.89</v>
      </c>
      <c r="E19" s="59">
        <v>0</v>
      </c>
      <c r="F19" s="58">
        <v>0</v>
      </c>
      <c r="G19" s="58"/>
      <c r="H19" s="58"/>
    </row>
    <row r="20" spans="1:13" ht="25.5" customHeight="1" x14ac:dyDescent="0.25">
      <c r="A20" s="103" t="s">
        <v>10</v>
      </c>
      <c r="B20" s="104"/>
      <c r="C20" s="105"/>
      <c r="D20" s="38" t="s">
        <v>42</v>
      </c>
      <c r="E20" s="38" t="s">
        <v>43</v>
      </c>
      <c r="F20" s="39" t="s">
        <v>44</v>
      </c>
      <c r="G20" s="39" t="s">
        <v>45</v>
      </c>
      <c r="H20" s="39" t="s">
        <v>46</v>
      </c>
    </row>
    <row r="21" spans="1:13" s="42" customFormat="1" ht="11.25" x14ac:dyDescent="0.2">
      <c r="A21" s="106">
        <v>1</v>
      </c>
      <c r="B21" s="107"/>
      <c r="C21" s="108"/>
      <c r="D21" s="45">
        <v>2</v>
      </c>
      <c r="E21" s="45">
        <v>3</v>
      </c>
      <c r="F21" s="46">
        <v>4</v>
      </c>
      <c r="G21" s="46">
        <v>5</v>
      </c>
      <c r="H21" s="46">
        <v>6</v>
      </c>
    </row>
    <row r="22" spans="1:13" x14ac:dyDescent="0.25">
      <c r="A22" s="12"/>
      <c r="B22" s="12"/>
      <c r="C22" s="12" t="s">
        <v>50</v>
      </c>
      <c r="D22" s="57">
        <f>+D23+D28</f>
        <v>1062534.42</v>
      </c>
      <c r="E22" s="57">
        <f>+E23+E28</f>
        <v>472669</v>
      </c>
      <c r="F22" s="57">
        <f>+F23+F28</f>
        <v>750033</v>
      </c>
      <c r="G22" s="57">
        <f>+G23+G28</f>
        <v>678185</v>
      </c>
      <c r="H22" s="57">
        <f>+H23+H28</f>
        <v>795227</v>
      </c>
      <c r="I22" s="65">
        <f>SAŽETAK!F14-' Račun prihoda i rashoda-ekonom'!D22</f>
        <v>0</v>
      </c>
      <c r="J22" s="65">
        <f>SAŽETAK!G14-' Račun prihoda i rashoda-ekonom'!E22</f>
        <v>0</v>
      </c>
      <c r="K22" s="65">
        <f>SAŽETAK!H14-' Račun prihoda i rashoda-ekonom'!F22</f>
        <v>0</v>
      </c>
      <c r="L22" s="65">
        <f>SAŽETAK!I14-' Račun prihoda i rashoda-ekonom'!G22</f>
        <v>0</v>
      </c>
      <c r="M22" s="65">
        <f>SAŽETAK!J14-' Račun prihoda i rashoda-ekonom'!H22</f>
        <v>0</v>
      </c>
    </row>
    <row r="23" spans="1:13" x14ac:dyDescent="0.25">
      <c r="A23" s="12">
        <v>3</v>
      </c>
      <c r="B23" s="12"/>
      <c r="C23" s="12" t="s">
        <v>7</v>
      </c>
      <c r="D23" s="57">
        <f>SUM(D24:D27)</f>
        <v>550898.39</v>
      </c>
      <c r="E23" s="57">
        <f>SUM(E24:E27)</f>
        <v>451980</v>
      </c>
      <c r="F23" s="57">
        <f>SUM(F24:F27)</f>
        <v>750033</v>
      </c>
      <c r="G23" s="57">
        <f>SUM(G24:G27)</f>
        <v>614185</v>
      </c>
      <c r="H23" s="57">
        <f>SUM(H24:H27)</f>
        <v>751227</v>
      </c>
    </row>
    <row r="24" spans="1:13" x14ac:dyDescent="0.25">
      <c r="A24" s="12"/>
      <c r="B24" s="15">
        <v>31</v>
      </c>
      <c r="C24" s="15" t="s">
        <v>8</v>
      </c>
      <c r="D24" s="59">
        <f>182083.81+7074.98+30043.83+14139.3+1294.04+2332.98</f>
        <v>236968.94</v>
      </c>
      <c r="E24" s="59">
        <f>238901+59061</f>
        <v>297962</v>
      </c>
      <c r="F24" s="58">
        <f>265000+12000+45000+25000+2000+4000+17745</f>
        <v>370745</v>
      </c>
      <c r="G24" s="58">
        <f>265000+12000+45000+25000+2500+4000+21125</f>
        <v>374625</v>
      </c>
      <c r="H24" s="58">
        <f>265000+12000+45000+25000+2000+4000+18167</f>
        <v>371167</v>
      </c>
    </row>
    <row r="25" spans="1:13" x14ac:dyDescent="0.25">
      <c r="A25" s="13"/>
      <c r="B25" s="13">
        <v>32</v>
      </c>
      <c r="C25" s="13" t="s">
        <v>16</v>
      </c>
      <c r="D25" s="60">
        <f>1327.22+10708.03+530.89+2654.46+29199.02+2588.1+1592.67+1990.84+5308.91+7963.37+1327.23+1990.84+1990.85+530.89+6636.14+1725.4+2389.01+6636.14+597.25+265.45+5308.91+3770.77+5984.74+4019.03+597.25+2277.37+1576.08+58.2+9928.46+4060.44+10365.72+2405.1+1172.75+7186.4+19649.42+4571.23+22065.17+663.61+684.62+265.45+4230.54+94516.12+746.57+15743.62</f>
        <v>309800.27999999997</v>
      </c>
      <c r="E25" s="60">
        <f>55345+1327+21900+4111+70273</f>
        <v>152956</v>
      </c>
      <c r="F25" s="58">
        <v>377288</v>
      </c>
      <c r="G25" s="58">
        <f>657060-419500</f>
        <v>237560</v>
      </c>
      <c r="H25" s="58">
        <f>777060-399000</f>
        <v>378060</v>
      </c>
    </row>
    <row r="26" spans="1:13" x14ac:dyDescent="0.25">
      <c r="A26" s="13"/>
      <c r="B26" s="13">
        <v>34</v>
      </c>
      <c r="C26" s="13" t="s">
        <v>77</v>
      </c>
      <c r="D26" s="60">
        <f>1061.78+2867.09</f>
        <v>3928.87</v>
      </c>
      <c r="E26" s="60">
        <v>1062</v>
      </c>
      <c r="F26" s="58">
        <f>2000</f>
        <v>2000</v>
      </c>
      <c r="G26" s="58">
        <v>2000</v>
      </c>
      <c r="H26" s="58">
        <v>2000</v>
      </c>
    </row>
    <row r="27" spans="1:13" x14ac:dyDescent="0.25">
      <c r="A27" s="13"/>
      <c r="B27" s="13">
        <v>36</v>
      </c>
      <c r="C27" s="13" t="s">
        <v>78</v>
      </c>
      <c r="D27" s="60">
        <v>200.3</v>
      </c>
      <c r="E27" s="60">
        <v>0</v>
      </c>
      <c r="F27" s="58">
        <v>0</v>
      </c>
      <c r="G27" s="58">
        <v>0</v>
      </c>
      <c r="H27" s="58">
        <v>0</v>
      </c>
    </row>
    <row r="28" spans="1:13" x14ac:dyDescent="0.25">
      <c r="A28" s="14">
        <v>4</v>
      </c>
      <c r="B28" s="14"/>
      <c r="C28" s="21" t="s">
        <v>9</v>
      </c>
      <c r="D28" s="61">
        <f>SUM(D29:D29)</f>
        <v>511636.03</v>
      </c>
      <c r="E28" s="61">
        <f>SUM(E29:E29)</f>
        <v>20689</v>
      </c>
      <c r="F28" s="61">
        <f>SUM(F29:F29)</f>
        <v>0</v>
      </c>
      <c r="G28" s="61">
        <f>SUM(G29:G29)</f>
        <v>64000</v>
      </c>
      <c r="H28" s="61">
        <f>SUM(H29:H29)</f>
        <v>44000</v>
      </c>
    </row>
    <row r="29" spans="1:13" x14ac:dyDescent="0.25">
      <c r="A29" s="15"/>
      <c r="B29" s="15">
        <v>42</v>
      </c>
      <c r="C29" s="22" t="s">
        <v>79</v>
      </c>
      <c r="D29" s="62">
        <f>784.46+2690.22+1528.97+378652.57+127979.81</f>
        <v>511636.03</v>
      </c>
      <c r="E29" s="62">
        <v>20689</v>
      </c>
      <c r="F29" s="58"/>
      <c r="G29" s="58">
        <v>64000</v>
      </c>
      <c r="H29" s="63">
        <v>44000</v>
      </c>
    </row>
    <row r="30" spans="1:13" x14ac:dyDescent="0.25">
      <c r="E30" s="65">
        <f>E22-E10</f>
        <v>0</v>
      </c>
      <c r="F30" s="65">
        <f t="shared" ref="F30:H30" si="3">F22-F10</f>
        <v>0</v>
      </c>
      <c r="G30" s="65">
        <f t="shared" si="3"/>
        <v>0</v>
      </c>
      <c r="H30" s="65">
        <f t="shared" si="3"/>
        <v>0</v>
      </c>
    </row>
  </sheetData>
  <mergeCells count="7">
    <mergeCell ref="A20:C20"/>
    <mergeCell ref="A9:C9"/>
    <mergeCell ref="A21:C21"/>
    <mergeCell ref="A2:H2"/>
    <mergeCell ref="A4:H4"/>
    <mergeCell ref="A6:H6"/>
    <mergeCell ref="A8:C8"/>
  </mergeCells>
  <pageMargins left="0.7" right="0.7" top="0.75" bottom="0.75" header="0.3" footer="0.3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34"/>
  <sheetViews>
    <sheetView topLeftCell="A4" workbookViewId="0">
      <selection activeCell="F23" sqref="F23"/>
    </sheetView>
  </sheetViews>
  <sheetFormatPr defaultRowHeight="15" x14ac:dyDescent="0.25"/>
  <cols>
    <col min="1" max="1" width="44.7109375" customWidth="1"/>
    <col min="2" max="6" width="19.42578125" customWidth="1"/>
    <col min="7" max="11" width="21.140625" customWidth="1"/>
  </cols>
  <sheetData>
    <row r="1" spans="1:11" ht="18" x14ac:dyDescent="0.25">
      <c r="A1" s="5"/>
      <c r="B1" s="5"/>
      <c r="C1" s="5"/>
      <c r="D1" s="5"/>
      <c r="E1" s="5"/>
      <c r="F1" s="5"/>
      <c r="G1" s="5"/>
      <c r="H1" s="5"/>
    </row>
    <row r="2" spans="1:11" ht="15.75" customHeight="1" x14ac:dyDescent="0.25">
      <c r="A2" s="92" t="s">
        <v>48</v>
      </c>
      <c r="B2" s="92"/>
      <c r="C2" s="92"/>
      <c r="D2" s="92"/>
      <c r="E2" s="92"/>
      <c r="F2" s="92"/>
      <c r="G2" s="32"/>
      <c r="H2" s="32"/>
    </row>
    <row r="3" spans="1:11" ht="18" x14ac:dyDescent="0.25">
      <c r="A3" s="5"/>
      <c r="B3" s="5"/>
      <c r="C3" s="5"/>
      <c r="D3" s="5"/>
      <c r="E3" s="5"/>
      <c r="F3" s="5"/>
      <c r="G3" s="6"/>
      <c r="H3" s="6"/>
    </row>
    <row r="4" spans="1:11" ht="25.5" customHeight="1" x14ac:dyDescent="0.25">
      <c r="A4" s="37" t="s">
        <v>10</v>
      </c>
      <c r="B4" s="38" t="s">
        <v>42</v>
      </c>
      <c r="C4" s="38" t="s">
        <v>43</v>
      </c>
      <c r="D4" s="39" t="s">
        <v>44</v>
      </c>
      <c r="E4" s="39" t="s">
        <v>45</v>
      </c>
      <c r="F4" s="39" t="s">
        <v>46</v>
      </c>
    </row>
    <row r="5" spans="1:11" s="42" customFormat="1" ht="11.25" x14ac:dyDescent="0.2">
      <c r="A5" s="44">
        <v>1</v>
      </c>
      <c r="B5" s="45">
        <v>2</v>
      </c>
      <c r="C5" s="45">
        <v>3</v>
      </c>
      <c r="D5" s="46">
        <v>4</v>
      </c>
      <c r="E5" s="46">
        <v>5</v>
      </c>
      <c r="F5" s="46">
        <v>6</v>
      </c>
    </row>
    <row r="6" spans="1:11" x14ac:dyDescent="0.25">
      <c r="A6" s="12" t="s">
        <v>49</v>
      </c>
      <c r="B6" s="57">
        <f>B7+B9+B11+B13+B16+B18</f>
        <v>1045450.27</v>
      </c>
      <c r="C6" s="57">
        <f>C7+C9+C11+C13+C16+C18</f>
        <v>472669</v>
      </c>
      <c r="D6" s="57">
        <f>D7+D9+D11+D13+D16+D18</f>
        <v>750033</v>
      </c>
      <c r="E6" s="57">
        <f>E7+E9+E11+E13+E16+E18</f>
        <v>678185</v>
      </c>
      <c r="F6" s="57">
        <f>F7+F9+F11+F13+F16+F18</f>
        <v>795227</v>
      </c>
      <c r="G6" s="65">
        <f>SAŽETAK!F11-' Račun prihoda i rashoda-izvori'!B6</f>
        <v>0</v>
      </c>
      <c r="H6" s="65">
        <f>SAŽETAK!G11-' Račun prihoda i rashoda-izvori'!C6</f>
        <v>0</v>
      </c>
      <c r="I6" s="65">
        <f>SAŽETAK!H11-' Račun prihoda i rashoda-izvori'!D6</f>
        <v>0</v>
      </c>
      <c r="J6" s="65">
        <f>SAŽETAK!I11-' Račun prihoda i rashoda-izvori'!E6</f>
        <v>0</v>
      </c>
      <c r="K6" s="65">
        <f>SAŽETAK!J11-' Račun prihoda i rashoda-izvori'!F6</f>
        <v>0</v>
      </c>
    </row>
    <row r="7" spans="1:11" x14ac:dyDescent="0.25">
      <c r="A7" s="12" t="s">
        <v>22</v>
      </c>
      <c r="B7" s="57">
        <f>SUM(B8:B8)</f>
        <v>313526</v>
      </c>
      <c r="C7" s="57">
        <f t="shared" ref="C7:F7" si="0">SUM(C8:C8)</f>
        <v>296635</v>
      </c>
      <c r="D7" s="57">
        <f t="shared" si="0"/>
        <v>517745</v>
      </c>
      <c r="E7" s="57">
        <f t="shared" si="0"/>
        <v>521125</v>
      </c>
      <c r="F7" s="57">
        <f t="shared" si="0"/>
        <v>618167</v>
      </c>
    </row>
    <row r="8" spans="1:11" x14ac:dyDescent="0.25">
      <c r="A8" s="27" t="s">
        <v>23</v>
      </c>
      <c r="B8" s="59">
        <f>308217.09+5308.91</f>
        <v>313526</v>
      </c>
      <c r="C8" s="59">
        <f>295308+1327</f>
        <v>296635</v>
      </c>
      <c r="D8" s="59">
        <f>480000+20000+17745</f>
        <v>517745</v>
      </c>
      <c r="E8" s="59">
        <f>500000+21125</f>
        <v>521125</v>
      </c>
      <c r="F8" s="59">
        <f>600000+18167</f>
        <v>618167</v>
      </c>
    </row>
    <row r="9" spans="1:11" x14ac:dyDescent="0.25">
      <c r="A9" s="12" t="s">
        <v>28</v>
      </c>
      <c r="B9" s="59">
        <f>SUM(B10:B10)</f>
        <v>31722</v>
      </c>
      <c r="C9" s="59">
        <f t="shared" ref="C9:F9" si="1">SUM(C10:C10)</f>
        <v>80961</v>
      </c>
      <c r="D9" s="59">
        <f t="shared" si="1"/>
        <v>40000</v>
      </c>
      <c r="E9" s="59">
        <f t="shared" si="1"/>
        <v>60000</v>
      </c>
      <c r="F9" s="59">
        <f t="shared" si="1"/>
        <v>80000</v>
      </c>
    </row>
    <row r="10" spans="1:11" x14ac:dyDescent="0.25">
      <c r="A10" s="29" t="s">
        <v>29</v>
      </c>
      <c r="B10" s="59">
        <v>31722</v>
      </c>
      <c r="C10" s="59">
        <v>80961</v>
      </c>
      <c r="D10" s="58">
        <v>40000</v>
      </c>
      <c r="E10" s="58">
        <v>60000</v>
      </c>
      <c r="F10" s="58">
        <v>80000</v>
      </c>
    </row>
    <row r="11" spans="1:11" x14ac:dyDescent="0.25">
      <c r="A11" s="12" t="s">
        <v>84</v>
      </c>
      <c r="B11" s="59">
        <f>SUM(B12)</f>
        <v>12727.9</v>
      </c>
      <c r="C11" s="59">
        <f t="shared" ref="C11:F11" si="2">SUM(C12)</f>
        <v>4111</v>
      </c>
      <c r="D11" s="59">
        <f t="shared" si="2"/>
        <v>9060</v>
      </c>
      <c r="E11" s="59">
        <f t="shared" si="2"/>
        <v>9060</v>
      </c>
      <c r="F11" s="59">
        <f t="shared" si="2"/>
        <v>9060</v>
      </c>
    </row>
    <row r="12" spans="1:11" x14ac:dyDescent="0.25">
      <c r="A12" s="29" t="s">
        <v>82</v>
      </c>
      <c r="B12" s="59">
        <v>12727.9</v>
      </c>
      <c r="C12" s="59">
        <v>4111</v>
      </c>
      <c r="D12" s="58">
        <v>9060</v>
      </c>
      <c r="E12" s="58">
        <v>9060</v>
      </c>
      <c r="F12" s="58">
        <v>9060</v>
      </c>
    </row>
    <row r="13" spans="1:11" x14ac:dyDescent="0.25">
      <c r="A13" s="12" t="s">
        <v>85</v>
      </c>
      <c r="B13" s="59">
        <f>SUM(B14:B15)</f>
        <v>683997.1</v>
      </c>
      <c r="C13" s="59">
        <f t="shared" ref="C13:F13" si="3">SUM(C14)</f>
        <v>90962</v>
      </c>
      <c r="D13" s="59">
        <f t="shared" si="3"/>
        <v>183228</v>
      </c>
      <c r="E13" s="59">
        <f t="shared" si="3"/>
        <v>88000</v>
      </c>
      <c r="F13" s="59">
        <f t="shared" si="3"/>
        <v>88000</v>
      </c>
    </row>
    <row r="14" spans="1:11" x14ac:dyDescent="0.25">
      <c r="A14" s="29" t="s">
        <v>83</v>
      </c>
      <c r="B14" s="59">
        <f>62127.87+144470</f>
        <v>206597.87</v>
      </c>
      <c r="C14" s="59">
        <v>90962</v>
      </c>
      <c r="D14" s="58">
        <v>183228</v>
      </c>
      <c r="E14" s="58">
        <v>88000</v>
      </c>
      <c r="F14" s="58">
        <v>88000</v>
      </c>
    </row>
    <row r="15" spans="1:11" x14ac:dyDescent="0.25">
      <c r="A15" s="29" t="s">
        <v>90</v>
      </c>
      <c r="B15" s="59">
        <v>477399.23</v>
      </c>
      <c r="C15" s="59">
        <v>0</v>
      </c>
      <c r="D15" s="58">
        <v>0</v>
      </c>
      <c r="E15" s="58">
        <v>0</v>
      </c>
      <c r="F15" s="58">
        <v>0</v>
      </c>
    </row>
    <row r="16" spans="1:11" x14ac:dyDescent="0.25">
      <c r="A16" s="12" t="s">
        <v>88</v>
      </c>
      <c r="B16" s="59">
        <f>SUM(B17)</f>
        <v>2800.38</v>
      </c>
      <c r="C16" s="59">
        <f t="shared" ref="C16:F16" si="4">SUM(C17)</f>
        <v>0</v>
      </c>
      <c r="D16" s="59">
        <f t="shared" si="4"/>
        <v>0</v>
      </c>
      <c r="E16" s="59">
        <f t="shared" si="4"/>
        <v>0</v>
      </c>
      <c r="F16" s="59">
        <f t="shared" si="4"/>
        <v>0</v>
      </c>
    </row>
    <row r="17" spans="1:11" x14ac:dyDescent="0.25">
      <c r="A17" s="66" t="s">
        <v>89</v>
      </c>
      <c r="B17" s="59">
        <v>2800.38</v>
      </c>
      <c r="C17" s="59"/>
      <c r="D17" s="58">
        <v>0</v>
      </c>
      <c r="E17" s="58">
        <v>0</v>
      </c>
      <c r="F17" s="58">
        <v>0</v>
      </c>
    </row>
    <row r="18" spans="1:11" ht="25.5" x14ac:dyDescent="0.25">
      <c r="A18" s="12" t="s">
        <v>86</v>
      </c>
      <c r="B18" s="59">
        <f>SUM(B19)</f>
        <v>676.89</v>
      </c>
      <c r="C18" s="59">
        <f t="shared" ref="C18:F18" si="5">SUM(C19)</f>
        <v>0</v>
      </c>
      <c r="D18" s="59">
        <f t="shared" si="5"/>
        <v>0</v>
      </c>
      <c r="E18" s="59">
        <f t="shared" si="5"/>
        <v>0</v>
      </c>
      <c r="F18" s="59">
        <f t="shared" si="5"/>
        <v>0</v>
      </c>
    </row>
    <row r="19" spans="1:11" ht="25.5" x14ac:dyDescent="0.25">
      <c r="A19" s="66" t="s">
        <v>87</v>
      </c>
      <c r="B19" s="59">
        <v>676.89</v>
      </c>
      <c r="C19" s="59">
        <v>0</v>
      </c>
      <c r="D19" s="58">
        <v>0</v>
      </c>
      <c r="E19" s="58">
        <v>0</v>
      </c>
      <c r="F19" s="58">
        <v>0</v>
      </c>
    </row>
    <row r="20" spans="1:11" x14ac:dyDescent="0.25">
      <c r="A20" s="12" t="s">
        <v>50</v>
      </c>
      <c r="B20" s="57">
        <f>B21+B23+B25+B27+B30+B32</f>
        <v>1062534.42</v>
      </c>
      <c r="C20" s="57">
        <f t="shared" ref="C20:F20" si="6">C21+C23+C25+C27+C30+C32</f>
        <v>472669</v>
      </c>
      <c r="D20" s="57">
        <f t="shared" si="6"/>
        <v>750033</v>
      </c>
      <c r="E20" s="57">
        <f t="shared" si="6"/>
        <v>678185</v>
      </c>
      <c r="F20" s="57">
        <f t="shared" si="6"/>
        <v>795227</v>
      </c>
      <c r="G20" s="67">
        <f>SAŽETAK!F14-B20</f>
        <v>0</v>
      </c>
      <c r="H20" s="67">
        <f>SAŽETAK!G14-C20</f>
        <v>0</v>
      </c>
      <c r="I20" s="67">
        <f>SAŽETAK!H14-D20</f>
        <v>0</v>
      </c>
      <c r="J20" s="67">
        <f>SAŽETAK!I14-E20</f>
        <v>0</v>
      </c>
      <c r="K20" s="67">
        <f>SAŽETAK!J14-F20</f>
        <v>0</v>
      </c>
    </row>
    <row r="21" spans="1:11" x14ac:dyDescent="0.25">
      <c r="A21" s="12" t="s">
        <v>22</v>
      </c>
      <c r="B21" s="57">
        <f>SUM(B22)</f>
        <v>313526.01999999996</v>
      </c>
      <c r="C21" s="57">
        <f t="shared" ref="C21:F21" si="7">SUM(C22)</f>
        <v>296635</v>
      </c>
      <c r="D21" s="57">
        <f t="shared" si="7"/>
        <v>517745</v>
      </c>
      <c r="E21" s="57">
        <f t="shared" si="7"/>
        <v>521125</v>
      </c>
      <c r="F21" s="57">
        <f t="shared" si="7"/>
        <v>618167</v>
      </c>
    </row>
    <row r="22" spans="1:11" x14ac:dyDescent="0.25">
      <c r="A22" s="27" t="s">
        <v>23</v>
      </c>
      <c r="B22" s="59">
        <f>308217.11+5308.91</f>
        <v>313526.01999999996</v>
      </c>
      <c r="C22" s="59">
        <f>295308+1327</f>
        <v>296635</v>
      </c>
      <c r="D22" s="59">
        <f>500000+17745</f>
        <v>517745</v>
      </c>
      <c r="E22" s="59">
        <f>500000+21125</f>
        <v>521125</v>
      </c>
      <c r="F22" s="59">
        <f>600000+18167</f>
        <v>618167</v>
      </c>
    </row>
    <row r="23" spans="1:11" x14ac:dyDescent="0.25">
      <c r="A23" s="12" t="s">
        <v>28</v>
      </c>
      <c r="B23" s="59">
        <f>SUM(B24)</f>
        <v>39701.31</v>
      </c>
      <c r="C23" s="59">
        <f t="shared" ref="C23:F23" si="8">SUM(C24)</f>
        <v>80961</v>
      </c>
      <c r="D23" s="59">
        <f t="shared" si="8"/>
        <v>40000</v>
      </c>
      <c r="E23" s="59">
        <f t="shared" si="8"/>
        <v>60000</v>
      </c>
      <c r="F23" s="59">
        <f t="shared" si="8"/>
        <v>80000</v>
      </c>
    </row>
    <row r="24" spans="1:11" x14ac:dyDescent="0.25">
      <c r="A24" s="29" t="s">
        <v>29</v>
      </c>
      <c r="B24" s="59">
        <v>39701.31</v>
      </c>
      <c r="C24" s="59">
        <v>80961</v>
      </c>
      <c r="D24" s="58">
        <v>40000</v>
      </c>
      <c r="E24" s="58">
        <v>60000</v>
      </c>
      <c r="F24" s="58">
        <v>80000</v>
      </c>
    </row>
    <row r="25" spans="1:11" x14ac:dyDescent="0.25">
      <c r="A25" s="12" t="s">
        <v>84</v>
      </c>
      <c r="B25" s="59">
        <f t="shared" ref="B25" si="9">SUM(B26)</f>
        <v>14189.2</v>
      </c>
      <c r="C25" s="59">
        <f t="shared" ref="C25" si="10">SUM(C26)</f>
        <v>4111</v>
      </c>
      <c r="D25" s="59">
        <f t="shared" ref="D25" si="11">SUM(D26)</f>
        <v>9060</v>
      </c>
      <c r="E25" s="59">
        <f t="shared" ref="E25:F25" si="12">SUM(E26)</f>
        <v>9060</v>
      </c>
      <c r="F25" s="59">
        <f t="shared" si="12"/>
        <v>9060</v>
      </c>
    </row>
    <row r="26" spans="1:11" x14ac:dyDescent="0.25">
      <c r="A26" s="29" t="s">
        <v>82</v>
      </c>
      <c r="B26" s="59">
        <v>14189.2</v>
      </c>
      <c r="C26" s="59">
        <v>4111</v>
      </c>
      <c r="D26" s="58">
        <v>9060</v>
      </c>
      <c r="E26" s="58">
        <v>9060</v>
      </c>
      <c r="F26" s="58">
        <v>9060</v>
      </c>
    </row>
    <row r="27" spans="1:11" x14ac:dyDescent="0.25">
      <c r="A27" s="12" t="s">
        <v>85</v>
      </c>
      <c r="B27" s="59">
        <f>SUM(B28:B29)</f>
        <v>690633.25</v>
      </c>
      <c r="C27" s="59">
        <f t="shared" ref="C27:F27" si="13">SUM(C28:C29)</f>
        <v>90962</v>
      </c>
      <c r="D27" s="59">
        <f t="shared" si="13"/>
        <v>183228</v>
      </c>
      <c r="E27" s="59">
        <f t="shared" si="13"/>
        <v>88000</v>
      </c>
      <c r="F27" s="59">
        <f t="shared" si="13"/>
        <v>88000</v>
      </c>
    </row>
    <row r="28" spans="1:11" x14ac:dyDescent="0.25">
      <c r="A28" s="29" t="s">
        <v>83</v>
      </c>
      <c r="B28" s="59">
        <f>68764.02+144470</f>
        <v>213234.02000000002</v>
      </c>
      <c r="C28" s="59">
        <v>90962</v>
      </c>
      <c r="D28" s="58">
        <v>183228</v>
      </c>
      <c r="E28" s="58">
        <v>88000</v>
      </c>
      <c r="F28" s="58">
        <v>88000</v>
      </c>
    </row>
    <row r="29" spans="1:11" x14ac:dyDescent="0.25">
      <c r="A29" s="29" t="s">
        <v>90</v>
      </c>
      <c r="B29" s="59">
        <v>477399.23</v>
      </c>
      <c r="C29" s="59">
        <v>0</v>
      </c>
      <c r="D29" s="58">
        <v>0</v>
      </c>
      <c r="E29" s="58"/>
      <c r="F29" s="58"/>
    </row>
    <row r="30" spans="1:11" x14ac:dyDescent="0.25">
      <c r="A30" s="12" t="s">
        <v>88</v>
      </c>
      <c r="B30" s="59">
        <f>SUM(B31)</f>
        <v>2955.67</v>
      </c>
      <c r="C30" s="59">
        <f t="shared" ref="C30:F30" si="14">SUM(C31)</f>
        <v>0</v>
      </c>
      <c r="D30" s="59">
        <f t="shared" si="14"/>
        <v>0</v>
      </c>
      <c r="E30" s="59">
        <f t="shared" si="14"/>
        <v>0</v>
      </c>
      <c r="F30" s="59">
        <f t="shared" si="14"/>
        <v>0</v>
      </c>
    </row>
    <row r="31" spans="1:11" x14ac:dyDescent="0.25">
      <c r="A31" s="66" t="s">
        <v>89</v>
      </c>
      <c r="B31" s="59">
        <v>2955.67</v>
      </c>
      <c r="C31" s="59">
        <v>0</v>
      </c>
      <c r="D31" s="58">
        <v>0</v>
      </c>
      <c r="E31" s="58"/>
      <c r="F31" s="58"/>
    </row>
    <row r="32" spans="1:11" ht="25.5" x14ac:dyDescent="0.25">
      <c r="A32" s="12" t="s">
        <v>86</v>
      </c>
      <c r="B32" s="59">
        <f>SUM(B33)</f>
        <v>1528.97</v>
      </c>
      <c r="C32" s="59">
        <f t="shared" ref="C32" si="15">SUM(C33)</f>
        <v>0</v>
      </c>
      <c r="D32" s="59">
        <f t="shared" ref="D32" si="16">SUM(D33)</f>
        <v>0</v>
      </c>
      <c r="E32" s="59">
        <f t="shared" ref="E32" si="17">SUM(E33)</f>
        <v>0</v>
      </c>
      <c r="F32" s="59">
        <f t="shared" ref="F32" si="18">SUM(F33)</f>
        <v>0</v>
      </c>
    </row>
    <row r="33" spans="1:6" ht="25.5" x14ac:dyDescent="0.25">
      <c r="A33" s="66" t="s">
        <v>87</v>
      </c>
      <c r="B33" s="59">
        <v>1528.97</v>
      </c>
      <c r="C33" s="59">
        <v>0</v>
      </c>
      <c r="D33" s="58">
        <v>0</v>
      </c>
      <c r="E33" s="58">
        <v>0</v>
      </c>
      <c r="F33" s="58">
        <v>0</v>
      </c>
    </row>
    <row r="34" spans="1:6" x14ac:dyDescent="0.25">
      <c r="B34" s="65"/>
      <c r="C34" s="65">
        <f>C20-C6</f>
        <v>0</v>
      </c>
      <c r="D34" s="65">
        <f t="shared" ref="D34:F34" si="19">D20-D6</f>
        <v>0</v>
      </c>
      <c r="E34" s="65">
        <f t="shared" si="19"/>
        <v>0</v>
      </c>
      <c r="F34" s="65">
        <f t="shared" si="19"/>
        <v>0</v>
      </c>
    </row>
  </sheetData>
  <mergeCells count="1">
    <mergeCell ref="A2:F2"/>
  </mergeCells>
  <phoneticPr fontId="18" type="noConversion"/>
  <pageMargins left="0.7" right="0.7" top="0.75" bottom="0.75" header="0.3" footer="0.3"/>
  <pageSetup paperSize="9"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8"/>
  <sheetViews>
    <sheetView workbookViewId="0">
      <selection activeCell="F8" sqref="F8"/>
    </sheetView>
  </sheetViews>
  <sheetFormatPr defaultRowHeight="15" x14ac:dyDescent="0.25"/>
  <cols>
    <col min="1" max="1" width="44.7109375" customWidth="1"/>
    <col min="2" max="6" width="19.42578125" customWidth="1"/>
    <col min="7" max="11" width="13.5703125" customWidth="1"/>
  </cols>
  <sheetData>
    <row r="1" spans="1:11" ht="18" x14ac:dyDescent="0.25">
      <c r="A1" s="5"/>
      <c r="B1" s="5"/>
      <c r="C1" s="5"/>
      <c r="D1" s="5"/>
      <c r="E1" s="5"/>
      <c r="F1" s="5"/>
      <c r="G1" s="5"/>
      <c r="H1" s="5"/>
    </row>
    <row r="2" spans="1:11" ht="15.75" customHeight="1" x14ac:dyDescent="0.25">
      <c r="A2" s="92" t="s">
        <v>51</v>
      </c>
      <c r="B2" s="92"/>
      <c r="C2" s="92"/>
      <c r="D2" s="92"/>
      <c r="E2" s="92"/>
      <c r="F2" s="92"/>
      <c r="G2" s="32"/>
      <c r="H2" s="32"/>
    </row>
    <row r="3" spans="1:11" ht="18" x14ac:dyDescent="0.25">
      <c r="A3" s="5"/>
      <c r="B3" s="5"/>
      <c r="C3" s="5"/>
      <c r="D3" s="5"/>
      <c r="E3" s="5"/>
      <c r="F3" s="5"/>
      <c r="G3" s="6"/>
      <c r="H3" s="6"/>
    </row>
    <row r="4" spans="1:11" ht="25.5" customHeight="1" x14ac:dyDescent="0.25">
      <c r="A4" s="37" t="s">
        <v>10</v>
      </c>
      <c r="B4" s="38" t="s">
        <v>42</v>
      </c>
      <c r="C4" s="38" t="s">
        <v>43</v>
      </c>
      <c r="D4" s="39" t="s">
        <v>44</v>
      </c>
      <c r="E4" s="39" t="s">
        <v>45</v>
      </c>
      <c r="F4" s="39" t="s">
        <v>46</v>
      </c>
    </row>
    <row r="5" spans="1:11" s="42" customFormat="1" ht="11.25" x14ac:dyDescent="0.2">
      <c r="A5" s="44">
        <v>1</v>
      </c>
      <c r="B5" s="45">
        <v>2</v>
      </c>
      <c r="C5" s="45">
        <v>3</v>
      </c>
      <c r="D5" s="46">
        <v>4</v>
      </c>
      <c r="E5" s="46">
        <v>5</v>
      </c>
      <c r="F5" s="46">
        <v>6</v>
      </c>
    </row>
    <row r="6" spans="1:11" x14ac:dyDescent="0.25">
      <c r="A6" s="12" t="s">
        <v>50</v>
      </c>
      <c r="B6" s="57">
        <f>+B7</f>
        <v>1062534.42</v>
      </c>
      <c r="C6" s="57">
        <f t="shared" ref="C6:F7" si="0">+C7</f>
        <v>472669</v>
      </c>
      <c r="D6" s="57">
        <f t="shared" si="0"/>
        <v>750033</v>
      </c>
      <c r="E6" s="57">
        <f t="shared" si="0"/>
        <v>678185</v>
      </c>
      <c r="F6" s="57">
        <f t="shared" si="0"/>
        <v>795227</v>
      </c>
      <c r="G6" s="65">
        <f>SAŽETAK!F14-' Račun rashoda-funkcija'!B6</f>
        <v>0</v>
      </c>
      <c r="H6" s="65">
        <f>SAŽETAK!G14-' Račun rashoda-funkcija'!C6</f>
        <v>0</v>
      </c>
      <c r="I6" s="65">
        <f>SAŽETAK!H14-' Račun rashoda-funkcija'!D6</f>
        <v>0</v>
      </c>
      <c r="J6" s="65">
        <f>SAŽETAK!I14-' Račun rashoda-funkcija'!E6</f>
        <v>0</v>
      </c>
      <c r="K6" s="65">
        <f>SAŽETAK!J14-' Račun rashoda-funkcija'!F6</f>
        <v>0</v>
      </c>
    </row>
    <row r="7" spans="1:11" x14ac:dyDescent="0.25">
      <c r="A7" s="12" t="s">
        <v>91</v>
      </c>
      <c r="B7" s="57">
        <f>+B8</f>
        <v>1062534.42</v>
      </c>
      <c r="C7" s="57">
        <f t="shared" si="0"/>
        <v>472669</v>
      </c>
      <c r="D7" s="57">
        <f t="shared" si="0"/>
        <v>750033</v>
      </c>
      <c r="E7" s="57">
        <f t="shared" si="0"/>
        <v>678185</v>
      </c>
      <c r="F7" s="57">
        <f t="shared" si="0"/>
        <v>795227</v>
      </c>
    </row>
    <row r="8" spans="1:11" x14ac:dyDescent="0.25">
      <c r="A8" s="17" t="s">
        <v>92</v>
      </c>
      <c r="B8" s="59">
        <f>+SAŽETAK!F14</f>
        <v>1062534.42</v>
      </c>
      <c r="C8" s="59">
        <f>+SAŽETAK!G14</f>
        <v>472669</v>
      </c>
      <c r="D8" s="59">
        <f>+SAŽETAK!H14</f>
        <v>750033</v>
      </c>
      <c r="E8" s="59">
        <f>+SAŽETAK!I14</f>
        <v>678185</v>
      </c>
      <c r="F8" s="59">
        <f>+SAŽETAK!J14</f>
        <v>795227</v>
      </c>
    </row>
  </sheetData>
  <mergeCells count="1">
    <mergeCell ref="A2:F2"/>
  </mergeCells>
  <pageMargins left="0.7" right="0.7" top="0.75" bottom="0.75" header="0.3" footer="0.3"/>
  <pageSetup paperSize="9"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15"/>
  <sheetViews>
    <sheetView workbookViewId="0">
      <selection activeCell="D11" sqref="D1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44.7109375" customWidth="1"/>
    <col min="4" max="8" width="19.42578125" customWidth="1"/>
    <col min="9" max="10" width="25.28515625" customWidth="1"/>
  </cols>
  <sheetData>
    <row r="1" spans="1:10" ht="18" x14ac:dyDescent="0.25">
      <c r="A1" s="5"/>
      <c r="B1" s="5"/>
      <c r="C1" s="5"/>
      <c r="D1" s="5"/>
      <c r="E1" s="5"/>
      <c r="F1" s="5"/>
      <c r="G1" s="5"/>
      <c r="H1" s="5"/>
      <c r="I1" s="5"/>
      <c r="J1" s="5"/>
    </row>
    <row r="2" spans="1:10" ht="15.75" x14ac:dyDescent="0.25">
      <c r="A2" s="92" t="s">
        <v>15</v>
      </c>
      <c r="B2" s="92"/>
      <c r="C2" s="92"/>
      <c r="D2" s="92"/>
      <c r="E2" s="92"/>
      <c r="F2" s="92"/>
      <c r="G2" s="92"/>
      <c r="H2" s="92"/>
      <c r="I2" s="31"/>
      <c r="J2" s="31"/>
    </row>
    <row r="3" spans="1:10" ht="18" x14ac:dyDescent="0.25">
      <c r="A3" s="5"/>
      <c r="B3" s="5"/>
      <c r="C3" s="5"/>
      <c r="D3" s="5"/>
      <c r="E3" s="5"/>
      <c r="F3" s="5"/>
      <c r="G3" s="5"/>
      <c r="H3" s="5"/>
      <c r="I3" s="6"/>
      <c r="J3" s="6"/>
    </row>
    <row r="4" spans="1:10" ht="15.75" x14ac:dyDescent="0.25">
      <c r="A4" s="92" t="s">
        <v>11</v>
      </c>
      <c r="B4" s="92"/>
      <c r="C4" s="92"/>
      <c r="D4" s="92"/>
      <c r="E4" s="92"/>
      <c r="F4" s="92"/>
      <c r="G4" s="92"/>
      <c r="H4" s="92"/>
      <c r="I4" s="30"/>
      <c r="J4" s="30"/>
    </row>
    <row r="5" spans="1:10" ht="18" x14ac:dyDescent="0.25">
      <c r="A5" s="5"/>
      <c r="B5" s="5"/>
      <c r="C5" s="5"/>
      <c r="D5" s="5"/>
      <c r="E5" s="5"/>
      <c r="F5" s="5"/>
      <c r="G5" s="5"/>
      <c r="H5" s="5"/>
      <c r="I5" s="6"/>
      <c r="J5" s="6"/>
    </row>
    <row r="6" spans="1:10" ht="15.75" x14ac:dyDescent="0.25">
      <c r="A6" s="92" t="s">
        <v>52</v>
      </c>
      <c r="B6" s="92"/>
      <c r="C6" s="92"/>
      <c r="D6" s="92"/>
      <c r="E6" s="92"/>
      <c r="F6" s="92"/>
      <c r="G6" s="92"/>
      <c r="H6" s="92"/>
      <c r="I6" s="32"/>
      <c r="J6" s="32"/>
    </row>
    <row r="7" spans="1:10" ht="18" x14ac:dyDescent="0.25">
      <c r="A7" s="5"/>
      <c r="B7" s="5"/>
      <c r="C7" s="5"/>
      <c r="D7" s="5"/>
      <c r="E7" s="5"/>
      <c r="F7" s="5"/>
      <c r="G7" s="5"/>
      <c r="H7" s="5"/>
      <c r="I7" s="6"/>
      <c r="J7" s="6"/>
    </row>
    <row r="8" spans="1:10" ht="25.5" x14ac:dyDescent="0.25">
      <c r="A8" s="103" t="s">
        <v>10</v>
      </c>
      <c r="B8" s="104"/>
      <c r="C8" s="105"/>
      <c r="D8" s="38" t="s">
        <v>42</v>
      </c>
      <c r="E8" s="38" t="s">
        <v>43</v>
      </c>
      <c r="F8" s="39" t="s">
        <v>44</v>
      </c>
      <c r="G8" s="39" t="s">
        <v>45</v>
      </c>
      <c r="H8" s="39" t="s">
        <v>46</v>
      </c>
    </row>
    <row r="9" spans="1:10" s="42" customFormat="1" ht="11.25" x14ac:dyDescent="0.2">
      <c r="A9" s="106">
        <v>1</v>
      </c>
      <c r="B9" s="107"/>
      <c r="C9" s="108"/>
      <c r="D9" s="45">
        <v>2</v>
      </c>
      <c r="E9" s="45">
        <v>3</v>
      </c>
      <c r="F9" s="46">
        <v>4</v>
      </c>
      <c r="G9" s="46">
        <v>5</v>
      </c>
      <c r="H9" s="46">
        <v>6</v>
      </c>
    </row>
    <row r="10" spans="1:10" x14ac:dyDescent="0.25">
      <c r="A10" s="12">
        <v>8</v>
      </c>
      <c r="B10" s="12"/>
      <c r="C10" s="12" t="s">
        <v>12</v>
      </c>
      <c r="D10" s="12"/>
      <c r="E10" s="12"/>
      <c r="F10" s="10"/>
      <c r="G10" s="10"/>
      <c r="H10" s="10"/>
    </row>
    <row r="11" spans="1:10" x14ac:dyDescent="0.25">
      <c r="A11" s="12"/>
      <c r="B11" s="15">
        <v>84</v>
      </c>
      <c r="C11" s="15" t="s">
        <v>17</v>
      </c>
      <c r="D11" s="12"/>
      <c r="E11" s="12"/>
      <c r="F11" s="10"/>
      <c r="G11" s="10"/>
      <c r="H11" s="10"/>
    </row>
    <row r="12" spans="1:10" x14ac:dyDescent="0.25">
      <c r="A12" s="13" t="s">
        <v>20</v>
      </c>
      <c r="B12" s="13"/>
      <c r="C12" s="17"/>
      <c r="D12" s="15"/>
      <c r="E12" s="15"/>
      <c r="F12" s="10"/>
      <c r="G12" s="10"/>
      <c r="H12" s="10"/>
    </row>
    <row r="13" spans="1:10" x14ac:dyDescent="0.25">
      <c r="A13" s="14">
        <v>5</v>
      </c>
      <c r="B13" s="14"/>
      <c r="C13" s="21" t="s">
        <v>13</v>
      </c>
      <c r="D13" s="15"/>
      <c r="E13" s="15"/>
      <c r="F13" s="10"/>
      <c r="G13" s="10"/>
      <c r="H13" s="10"/>
    </row>
    <row r="14" spans="1:10" ht="25.5" x14ac:dyDescent="0.25">
      <c r="A14" s="15"/>
      <c r="B14" s="15">
        <v>54</v>
      </c>
      <c r="C14" s="22" t="s">
        <v>18</v>
      </c>
      <c r="D14" s="15"/>
      <c r="E14" s="15"/>
      <c r="F14" s="10"/>
      <c r="G14" s="10"/>
      <c r="H14" s="10"/>
    </row>
    <row r="15" spans="1:10" x14ac:dyDescent="0.25">
      <c r="A15" s="16" t="s">
        <v>20</v>
      </c>
      <c r="B15" s="14"/>
      <c r="C15" s="21"/>
      <c r="D15" s="15"/>
      <c r="E15" s="15"/>
      <c r="F15" s="10"/>
      <c r="G15" s="10"/>
      <c r="H15" s="10"/>
    </row>
  </sheetData>
  <mergeCells count="5">
    <mergeCell ref="A2:H2"/>
    <mergeCell ref="A4:H4"/>
    <mergeCell ref="A6:H6"/>
    <mergeCell ref="A8:C8"/>
    <mergeCell ref="A9:C9"/>
  </mergeCells>
  <pageMargins left="0.7" right="0.7" top="0.75" bottom="0.75" header="0.3" footer="0.3"/>
  <pageSetup paperSize="9" scale="8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26"/>
  <sheetViews>
    <sheetView workbookViewId="0">
      <selection activeCell="G26" sqref="G26"/>
    </sheetView>
  </sheetViews>
  <sheetFormatPr defaultRowHeight="15" x14ac:dyDescent="0.25"/>
  <cols>
    <col min="1" max="1" width="44.7109375" customWidth="1"/>
    <col min="2" max="6" width="19.42578125" customWidth="1"/>
    <col min="7" max="8" width="25.28515625" customWidth="1"/>
  </cols>
  <sheetData>
    <row r="1" spans="1:8" ht="18" x14ac:dyDescent="0.25">
      <c r="A1" s="5"/>
      <c r="B1" s="5"/>
      <c r="C1" s="5"/>
      <c r="D1" s="5"/>
      <c r="E1" s="5"/>
      <c r="F1" s="5"/>
      <c r="G1" s="5"/>
      <c r="H1" s="5"/>
    </row>
    <row r="2" spans="1:8" ht="15.75" customHeight="1" x14ac:dyDescent="0.25">
      <c r="A2" s="92" t="s">
        <v>53</v>
      </c>
      <c r="B2" s="92"/>
      <c r="C2" s="92"/>
      <c r="D2" s="92"/>
      <c r="E2" s="92"/>
      <c r="F2" s="92"/>
      <c r="G2" s="32"/>
      <c r="H2" s="32"/>
    </row>
    <row r="3" spans="1:8" ht="18" x14ac:dyDescent="0.25">
      <c r="A3" s="5"/>
      <c r="B3" s="5"/>
      <c r="C3" s="5"/>
      <c r="D3" s="5"/>
      <c r="E3" s="5"/>
      <c r="F3" s="5"/>
      <c r="G3" s="6"/>
      <c r="H3" s="6"/>
    </row>
    <row r="4" spans="1:8" ht="25.5" customHeight="1" x14ac:dyDescent="0.25">
      <c r="A4" s="37" t="s">
        <v>10</v>
      </c>
      <c r="B4" s="38" t="s">
        <v>42</v>
      </c>
      <c r="C4" s="38" t="s">
        <v>43</v>
      </c>
      <c r="D4" s="39" t="s">
        <v>44</v>
      </c>
      <c r="E4" s="39" t="s">
        <v>45</v>
      </c>
      <c r="F4" s="39" t="s">
        <v>46</v>
      </c>
    </row>
    <row r="5" spans="1:8" s="42" customFormat="1" ht="11.25" x14ac:dyDescent="0.2">
      <c r="A5" s="44">
        <v>1</v>
      </c>
      <c r="B5" s="45">
        <v>2</v>
      </c>
      <c r="C5" s="45">
        <v>3</v>
      </c>
      <c r="D5" s="46">
        <v>4</v>
      </c>
      <c r="E5" s="46">
        <v>5</v>
      </c>
      <c r="F5" s="46">
        <v>6</v>
      </c>
    </row>
    <row r="6" spans="1:8" x14ac:dyDescent="0.25">
      <c r="A6" s="12" t="s">
        <v>54</v>
      </c>
      <c r="B6" s="12"/>
      <c r="C6" s="12"/>
      <c r="D6" s="10"/>
      <c r="E6" s="10"/>
      <c r="F6" s="10"/>
    </row>
    <row r="7" spans="1:8" x14ac:dyDescent="0.25">
      <c r="A7" s="12" t="s">
        <v>22</v>
      </c>
      <c r="B7" s="12"/>
      <c r="C7" s="12"/>
      <c r="D7" s="10"/>
      <c r="E7" s="10"/>
      <c r="F7" s="10"/>
    </row>
    <row r="8" spans="1:8" x14ac:dyDescent="0.25">
      <c r="A8" s="27" t="s">
        <v>23</v>
      </c>
      <c r="B8" s="15"/>
      <c r="C8" s="15"/>
      <c r="D8" s="10"/>
      <c r="E8" s="10"/>
      <c r="F8" s="10"/>
    </row>
    <row r="9" spans="1:8" x14ac:dyDescent="0.25">
      <c r="A9" s="28" t="s">
        <v>24</v>
      </c>
      <c r="B9" s="15"/>
      <c r="C9" s="15"/>
      <c r="D9" s="10"/>
      <c r="E9" s="10"/>
      <c r="F9" s="10"/>
    </row>
    <row r="10" spans="1:8" x14ac:dyDescent="0.25">
      <c r="A10" s="28" t="s">
        <v>25</v>
      </c>
      <c r="B10" s="15"/>
      <c r="C10" s="15"/>
      <c r="D10" s="10"/>
      <c r="E10" s="10"/>
      <c r="F10" s="10"/>
    </row>
    <row r="11" spans="1:8" x14ac:dyDescent="0.25">
      <c r="A11" s="12" t="s">
        <v>26</v>
      </c>
      <c r="B11" s="15"/>
      <c r="C11" s="15"/>
      <c r="D11" s="10"/>
      <c r="E11" s="10"/>
      <c r="F11" s="10"/>
    </row>
    <row r="12" spans="1:8" x14ac:dyDescent="0.25">
      <c r="A12" s="29" t="s">
        <v>27</v>
      </c>
      <c r="B12" s="43"/>
      <c r="C12" s="43"/>
      <c r="D12" s="43"/>
      <c r="E12" s="43"/>
      <c r="F12" s="43"/>
    </row>
    <row r="13" spans="1:8" x14ac:dyDescent="0.25">
      <c r="A13" s="12" t="s">
        <v>28</v>
      </c>
      <c r="B13" s="43"/>
      <c r="C13" s="43"/>
      <c r="D13" s="43"/>
      <c r="E13" s="43"/>
      <c r="F13" s="43"/>
    </row>
    <row r="14" spans="1:8" x14ac:dyDescent="0.25">
      <c r="A14" s="29" t="s">
        <v>29</v>
      </c>
      <c r="B14" s="43"/>
      <c r="C14" s="43"/>
      <c r="D14" s="43"/>
      <c r="E14" s="43"/>
      <c r="F14" s="43"/>
    </row>
    <row r="15" spans="1:8" x14ac:dyDescent="0.25">
      <c r="A15" s="15" t="s">
        <v>20</v>
      </c>
      <c r="B15" s="43"/>
      <c r="C15" s="43"/>
      <c r="D15" s="43"/>
      <c r="E15" s="43"/>
      <c r="F15" s="43"/>
    </row>
    <row r="16" spans="1:8" x14ac:dyDescent="0.25">
      <c r="A16" s="29"/>
      <c r="B16" s="43"/>
      <c r="C16" s="43"/>
      <c r="D16" s="43"/>
      <c r="E16" s="43"/>
      <c r="F16" s="43"/>
    </row>
    <row r="17" spans="1:6" x14ac:dyDescent="0.25">
      <c r="A17" s="12" t="s">
        <v>55</v>
      </c>
      <c r="B17" s="43"/>
      <c r="C17" s="43"/>
      <c r="D17" s="43"/>
      <c r="E17" s="43"/>
      <c r="F17" s="43"/>
    </row>
    <row r="18" spans="1:6" x14ac:dyDescent="0.25">
      <c r="A18" s="12" t="s">
        <v>22</v>
      </c>
      <c r="B18" s="43"/>
      <c r="C18" s="43"/>
      <c r="D18" s="43"/>
      <c r="E18" s="43"/>
      <c r="F18" s="43"/>
    </row>
    <row r="19" spans="1:6" x14ac:dyDescent="0.25">
      <c r="A19" s="27" t="s">
        <v>23</v>
      </c>
      <c r="B19" s="43"/>
      <c r="C19" s="43"/>
      <c r="D19" s="43"/>
      <c r="E19" s="43"/>
      <c r="F19" s="43"/>
    </row>
    <row r="20" spans="1:6" x14ac:dyDescent="0.25">
      <c r="A20" s="28" t="s">
        <v>24</v>
      </c>
      <c r="B20" s="43"/>
      <c r="C20" s="43"/>
      <c r="D20" s="43"/>
      <c r="E20" s="43"/>
      <c r="F20" s="43"/>
    </row>
    <row r="21" spans="1:6" x14ac:dyDescent="0.25">
      <c r="A21" s="28" t="s">
        <v>25</v>
      </c>
      <c r="B21" s="43"/>
      <c r="C21" s="43"/>
      <c r="D21" s="43"/>
      <c r="E21" s="43"/>
      <c r="F21" s="43"/>
    </row>
    <row r="22" spans="1:6" x14ac:dyDescent="0.25">
      <c r="A22" s="12" t="s">
        <v>26</v>
      </c>
      <c r="B22" s="43"/>
      <c r="C22" s="43"/>
      <c r="D22" s="43"/>
      <c r="E22" s="43"/>
      <c r="F22" s="43"/>
    </row>
    <row r="23" spans="1:6" x14ac:dyDescent="0.25">
      <c r="A23" s="29" t="s">
        <v>27</v>
      </c>
      <c r="B23" s="43"/>
      <c r="C23" s="43"/>
      <c r="D23" s="43"/>
      <c r="E23" s="43"/>
      <c r="F23" s="43"/>
    </row>
    <row r="24" spans="1:6" x14ac:dyDescent="0.25">
      <c r="A24" s="12" t="s">
        <v>28</v>
      </c>
      <c r="B24" s="43"/>
      <c r="C24" s="43"/>
      <c r="D24" s="43"/>
      <c r="E24" s="43"/>
      <c r="F24" s="43"/>
    </row>
    <row r="25" spans="1:6" x14ac:dyDescent="0.25">
      <c r="A25" s="29" t="s">
        <v>29</v>
      </c>
      <c r="B25" s="43"/>
      <c r="C25" s="43"/>
      <c r="D25" s="43"/>
      <c r="E25" s="43"/>
      <c r="F25" s="43"/>
    </row>
    <row r="26" spans="1:6" x14ac:dyDescent="0.25">
      <c r="A26" s="15" t="s">
        <v>20</v>
      </c>
      <c r="B26" s="43"/>
      <c r="C26" s="43"/>
      <c r="D26" s="43"/>
      <c r="E26" s="43"/>
      <c r="F26" s="43"/>
    </row>
  </sheetData>
  <mergeCells count="1">
    <mergeCell ref="A2:F2"/>
  </mergeCells>
  <pageMargins left="0.7" right="0.7" top="0.75" bottom="0.75" header="0.3" footer="0.3"/>
  <pageSetup paperSize="9" scale="9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67873-FF95-413C-9511-52037F49D0D8}">
  <dimension ref="B1:N133"/>
  <sheetViews>
    <sheetView tabSelected="1" topLeftCell="A4" zoomScaleNormal="100" workbookViewId="0">
      <selection activeCell="G10" sqref="G10"/>
    </sheetView>
  </sheetViews>
  <sheetFormatPr defaultRowHeight="12.75" x14ac:dyDescent="0.2"/>
  <cols>
    <col min="1" max="1" width="9.140625" style="69"/>
    <col min="2" max="2" width="7.42578125" style="69" bestFit="1" customWidth="1"/>
    <col min="3" max="3" width="8.140625" style="69" customWidth="1"/>
    <col min="4" max="4" width="51.42578125" style="69" customWidth="1"/>
    <col min="5" max="7" width="24.28515625" style="69" customWidth="1"/>
    <col min="8" max="8" width="15.7109375" style="69" customWidth="1"/>
    <col min="9" max="9" width="17.5703125" style="69" customWidth="1"/>
    <col min="10" max="14" width="13.7109375" style="69" customWidth="1"/>
    <col min="15" max="16384" width="9.140625" style="69"/>
  </cols>
  <sheetData>
    <row r="1" spans="2:14" x14ac:dyDescent="0.2">
      <c r="B1" s="68"/>
      <c r="C1" s="68"/>
      <c r="D1" s="68"/>
      <c r="E1" s="68"/>
      <c r="F1" s="68"/>
      <c r="G1" s="68"/>
      <c r="H1" s="6"/>
    </row>
    <row r="2" spans="2:14" ht="18" customHeight="1" x14ac:dyDescent="0.2">
      <c r="B2" s="92" t="s">
        <v>14</v>
      </c>
      <c r="C2" s="92"/>
      <c r="D2" s="92"/>
      <c r="E2" s="92"/>
      <c r="F2" s="92"/>
      <c r="G2" s="92"/>
      <c r="H2" s="92"/>
    </row>
    <row r="3" spans="2:14" ht="15.75" x14ac:dyDescent="0.2">
      <c r="B3" s="64"/>
      <c r="C3" s="64"/>
      <c r="D3" s="64"/>
      <c r="E3" s="64"/>
      <c r="F3" s="84"/>
      <c r="G3" s="84"/>
      <c r="H3" s="33"/>
    </row>
    <row r="4" spans="2:14" ht="15.75" x14ac:dyDescent="0.25">
      <c r="B4" s="120"/>
      <c r="C4" s="120"/>
      <c r="D4" s="120"/>
      <c r="E4" s="120"/>
      <c r="F4" s="120"/>
      <c r="G4" s="120"/>
      <c r="H4" s="120"/>
    </row>
    <row r="5" spans="2:14" x14ac:dyDescent="0.2">
      <c r="B5" s="68"/>
      <c r="C5" s="68"/>
      <c r="D5" s="68"/>
      <c r="E5" s="68"/>
      <c r="F5" s="68"/>
      <c r="G5" s="68"/>
      <c r="H5" s="6"/>
      <c r="J5" s="81"/>
    </row>
    <row r="6" spans="2:14" ht="25.5" customHeight="1" x14ac:dyDescent="0.2">
      <c r="B6" s="104" t="s">
        <v>160</v>
      </c>
      <c r="C6" s="105"/>
      <c r="D6" s="38" t="s">
        <v>161</v>
      </c>
      <c r="E6" s="38" t="s">
        <v>42</v>
      </c>
      <c r="F6" s="38" t="s">
        <v>43</v>
      </c>
      <c r="G6" s="39" t="s">
        <v>44</v>
      </c>
      <c r="H6" s="39" t="s">
        <v>45</v>
      </c>
      <c r="I6" s="39" t="s">
        <v>46</v>
      </c>
      <c r="J6" s="81">
        <f>E24+E55+E61+E118+E126</f>
        <v>1062534.42</v>
      </c>
      <c r="K6" s="81">
        <f t="shared" ref="K6:M6" si="0">F24+F55+F61+F118+F126</f>
        <v>472669</v>
      </c>
      <c r="L6" s="81">
        <f t="shared" si="0"/>
        <v>750033</v>
      </c>
      <c r="M6" s="81">
        <f t="shared" si="0"/>
        <v>678185</v>
      </c>
      <c r="N6" s="81">
        <f>I24+I55+I61+I118+I126</f>
        <v>795227</v>
      </c>
    </row>
    <row r="7" spans="2:14" ht="15" x14ac:dyDescent="0.2">
      <c r="B7" s="121">
        <v>7715</v>
      </c>
      <c r="C7" s="122"/>
      <c r="D7" s="70" t="s">
        <v>93</v>
      </c>
      <c r="E7" s="71">
        <f>E8</f>
        <v>1062534.42</v>
      </c>
      <c r="F7" s="71">
        <f t="shared" ref="F7:I7" si="1">F8</f>
        <v>472669</v>
      </c>
      <c r="G7" s="71">
        <f t="shared" si="1"/>
        <v>750033</v>
      </c>
      <c r="H7" s="71">
        <f t="shared" si="1"/>
        <v>678185</v>
      </c>
      <c r="I7" s="71">
        <f t="shared" si="1"/>
        <v>795227</v>
      </c>
      <c r="J7" s="82">
        <f>E7-SAŽETAK!F14</f>
        <v>0</v>
      </c>
      <c r="K7" s="82">
        <f>F7-SAŽETAK!G14</f>
        <v>0</v>
      </c>
      <c r="L7" s="82">
        <f>G7-SAŽETAK!H14</f>
        <v>0</v>
      </c>
      <c r="M7" s="82">
        <f>H7-SAŽETAK!I14</f>
        <v>0</v>
      </c>
      <c r="N7" s="82">
        <f>I7-SAŽETAK!J14</f>
        <v>0</v>
      </c>
    </row>
    <row r="8" spans="2:14" ht="28.5" customHeight="1" x14ac:dyDescent="0.2">
      <c r="B8" s="127">
        <v>26539</v>
      </c>
      <c r="C8" s="135"/>
      <c r="D8" s="72" t="s">
        <v>94</v>
      </c>
      <c r="E8" s="73">
        <f>E9+E11+E13+E15+E18+E20</f>
        <v>1062534.42</v>
      </c>
      <c r="F8" s="73">
        <f>F9+F11+F13+F15+F18+F20</f>
        <v>472669</v>
      </c>
      <c r="G8" s="73">
        <f t="shared" ref="F8:I8" si="2">G9+G11+G13+G15+G18+G20</f>
        <v>750033</v>
      </c>
      <c r="H8" s="73">
        <f t="shared" si="2"/>
        <v>678185</v>
      </c>
      <c r="I8" s="73">
        <f t="shared" si="2"/>
        <v>795227</v>
      </c>
    </row>
    <row r="9" spans="2:14" ht="15.75" customHeight="1" x14ac:dyDescent="0.2">
      <c r="B9" s="125" t="s">
        <v>95</v>
      </c>
      <c r="C9" s="126"/>
      <c r="D9" s="72" t="s">
        <v>96</v>
      </c>
      <c r="E9" s="73">
        <f>E10</f>
        <v>313526.01999999996</v>
      </c>
      <c r="F9" s="73">
        <f>F10</f>
        <v>296635</v>
      </c>
      <c r="G9" s="73">
        <f t="shared" ref="F9:I9" si="3">G10</f>
        <v>517745</v>
      </c>
      <c r="H9" s="73">
        <f t="shared" si="3"/>
        <v>521125</v>
      </c>
      <c r="I9" s="73">
        <f t="shared" si="3"/>
        <v>618167</v>
      </c>
    </row>
    <row r="10" spans="2:14" ht="15.75" customHeight="1" x14ac:dyDescent="0.2">
      <c r="B10" s="123" t="s">
        <v>97</v>
      </c>
      <c r="C10" s="124"/>
      <c r="D10" s="74" t="s">
        <v>98</v>
      </c>
      <c r="E10" s="75">
        <f>E26+E57</f>
        <v>313526.01999999996</v>
      </c>
      <c r="F10" s="75">
        <f t="shared" ref="F10:I10" si="4">F26+F57</f>
        <v>296635</v>
      </c>
      <c r="G10" s="75">
        <f>G26+G57</f>
        <v>517745</v>
      </c>
      <c r="H10" s="75">
        <f t="shared" si="4"/>
        <v>521125</v>
      </c>
      <c r="I10" s="75">
        <f t="shared" si="4"/>
        <v>618167</v>
      </c>
    </row>
    <row r="11" spans="2:14" ht="15.75" customHeight="1" x14ac:dyDescent="0.2">
      <c r="B11" s="127" t="s">
        <v>99</v>
      </c>
      <c r="C11" s="128"/>
      <c r="D11" s="72" t="s">
        <v>100</v>
      </c>
      <c r="E11" s="73">
        <f>E12</f>
        <v>39701.310000000005</v>
      </c>
      <c r="F11" s="73">
        <f t="shared" ref="F11:I11" si="5">F12</f>
        <v>80961</v>
      </c>
      <c r="G11" s="73">
        <f t="shared" si="5"/>
        <v>40000</v>
      </c>
      <c r="H11" s="73">
        <f t="shared" si="5"/>
        <v>60000</v>
      </c>
      <c r="I11" s="73">
        <f t="shared" si="5"/>
        <v>80000</v>
      </c>
    </row>
    <row r="12" spans="2:14" ht="15.75" customHeight="1" x14ac:dyDescent="0.2">
      <c r="B12" s="129" t="s">
        <v>101</v>
      </c>
      <c r="C12" s="130"/>
      <c r="D12" s="76" t="s">
        <v>100</v>
      </c>
      <c r="E12" s="75">
        <f>E63</f>
        <v>39701.310000000005</v>
      </c>
      <c r="F12" s="75">
        <f t="shared" ref="F12:I12" si="6">F63</f>
        <v>80961</v>
      </c>
      <c r="G12" s="75">
        <f t="shared" si="6"/>
        <v>40000</v>
      </c>
      <c r="H12" s="75">
        <f t="shared" si="6"/>
        <v>60000</v>
      </c>
      <c r="I12" s="75">
        <f t="shared" si="6"/>
        <v>80000</v>
      </c>
    </row>
    <row r="13" spans="2:14" ht="16.5" customHeight="1" x14ac:dyDescent="0.2">
      <c r="B13" s="127" t="s">
        <v>102</v>
      </c>
      <c r="C13" s="128"/>
      <c r="D13" s="12" t="s">
        <v>103</v>
      </c>
      <c r="E13" s="73">
        <f>E14</f>
        <v>14189.199999999999</v>
      </c>
      <c r="F13" s="73">
        <f t="shared" ref="F13:I13" si="7">F14</f>
        <v>4111</v>
      </c>
      <c r="G13" s="73">
        <f t="shared" si="7"/>
        <v>9060</v>
      </c>
      <c r="H13" s="73">
        <f t="shared" si="7"/>
        <v>9060</v>
      </c>
      <c r="I13" s="73">
        <f t="shared" si="7"/>
        <v>9060</v>
      </c>
    </row>
    <row r="14" spans="2:14" ht="15.75" customHeight="1" x14ac:dyDescent="0.2">
      <c r="B14" s="129" t="s">
        <v>104</v>
      </c>
      <c r="C14" s="130"/>
      <c r="D14" s="15" t="s">
        <v>105</v>
      </c>
      <c r="E14" s="75">
        <f>E85</f>
        <v>14189.199999999999</v>
      </c>
      <c r="F14" s="75">
        <f t="shared" ref="F14:I14" si="8">F85</f>
        <v>4111</v>
      </c>
      <c r="G14" s="75">
        <f t="shared" si="8"/>
        <v>9060</v>
      </c>
      <c r="H14" s="75">
        <f t="shared" si="8"/>
        <v>9060</v>
      </c>
      <c r="I14" s="75">
        <f t="shared" si="8"/>
        <v>9060</v>
      </c>
    </row>
    <row r="15" spans="2:14" ht="15.75" customHeight="1" x14ac:dyDescent="0.2">
      <c r="B15" s="127" t="s">
        <v>106</v>
      </c>
      <c r="C15" s="128"/>
      <c r="D15" s="72" t="s">
        <v>107</v>
      </c>
      <c r="E15" s="73">
        <f>E16+E17</f>
        <v>690633.25</v>
      </c>
      <c r="F15" s="73">
        <f t="shared" ref="F15:I15" si="9">F16+F17</f>
        <v>90962</v>
      </c>
      <c r="G15" s="73">
        <f t="shared" si="9"/>
        <v>183228</v>
      </c>
      <c r="H15" s="73">
        <f t="shared" si="9"/>
        <v>88000</v>
      </c>
      <c r="I15" s="73">
        <f t="shared" si="9"/>
        <v>88000</v>
      </c>
    </row>
    <row r="16" spans="2:14" ht="15.75" customHeight="1" x14ac:dyDescent="0.2">
      <c r="B16" s="129" t="s">
        <v>108</v>
      </c>
      <c r="C16" s="130"/>
      <c r="D16" s="74" t="s">
        <v>162</v>
      </c>
      <c r="E16" s="75">
        <f>+E92+E128</f>
        <v>213234.02</v>
      </c>
      <c r="F16" s="75">
        <f t="shared" ref="F16:I16" si="10">+F92+F128</f>
        <v>90962</v>
      </c>
      <c r="G16" s="75">
        <f t="shared" si="10"/>
        <v>183228</v>
      </c>
      <c r="H16" s="75">
        <f t="shared" si="10"/>
        <v>88000</v>
      </c>
      <c r="I16" s="75">
        <f t="shared" si="10"/>
        <v>88000</v>
      </c>
    </row>
    <row r="17" spans="2:9" ht="15.75" customHeight="1" x14ac:dyDescent="0.2">
      <c r="B17" s="129" t="s">
        <v>175</v>
      </c>
      <c r="C17" s="130"/>
      <c r="D17" s="74" t="s">
        <v>176</v>
      </c>
      <c r="E17" s="75">
        <f>+E120</f>
        <v>477399.23</v>
      </c>
      <c r="F17" s="75">
        <f t="shared" ref="F17:I17" si="11">+F120</f>
        <v>0</v>
      </c>
      <c r="G17" s="75">
        <f t="shared" si="11"/>
        <v>0</v>
      </c>
      <c r="H17" s="75">
        <f t="shared" si="11"/>
        <v>0</v>
      </c>
      <c r="I17" s="75">
        <f t="shared" si="11"/>
        <v>0</v>
      </c>
    </row>
    <row r="18" spans="2:9" ht="15.75" customHeight="1" x14ac:dyDescent="0.2">
      <c r="B18" s="125" t="s">
        <v>109</v>
      </c>
      <c r="C18" s="126"/>
      <c r="D18" s="72" t="s">
        <v>110</v>
      </c>
      <c r="E18" s="73">
        <f>E19</f>
        <v>2955.6699999999996</v>
      </c>
      <c r="F18" s="73">
        <f t="shared" ref="F18:I18" si="12">F19</f>
        <v>0</v>
      </c>
      <c r="G18" s="73">
        <f t="shared" si="12"/>
        <v>0</v>
      </c>
      <c r="H18" s="73">
        <f t="shared" si="12"/>
        <v>0</v>
      </c>
      <c r="I18" s="73">
        <f t="shared" si="12"/>
        <v>0</v>
      </c>
    </row>
    <row r="19" spans="2:9" ht="15.75" customHeight="1" x14ac:dyDescent="0.2">
      <c r="B19" s="123" t="s">
        <v>111</v>
      </c>
      <c r="C19" s="124"/>
      <c r="D19" s="74" t="s">
        <v>112</v>
      </c>
      <c r="E19" s="75">
        <f>+E108</f>
        <v>2955.6699999999996</v>
      </c>
      <c r="F19" s="75">
        <f t="shared" ref="F19:I19" si="13">+F108</f>
        <v>0</v>
      </c>
      <c r="G19" s="75">
        <f t="shared" si="13"/>
        <v>0</v>
      </c>
      <c r="H19" s="75">
        <f t="shared" si="13"/>
        <v>0</v>
      </c>
      <c r="I19" s="75">
        <f t="shared" si="13"/>
        <v>0</v>
      </c>
    </row>
    <row r="20" spans="2:9" ht="15.75" customHeight="1" x14ac:dyDescent="0.2">
      <c r="B20" s="131" t="s">
        <v>113</v>
      </c>
      <c r="C20" s="132"/>
      <c r="D20" s="77" t="s">
        <v>114</v>
      </c>
      <c r="E20" s="73">
        <f>+E21</f>
        <v>1528.97</v>
      </c>
      <c r="F20" s="73">
        <f t="shared" ref="F20:I20" si="14">+F21</f>
        <v>0</v>
      </c>
      <c r="G20" s="73">
        <f t="shared" si="14"/>
        <v>0</v>
      </c>
      <c r="H20" s="73">
        <f t="shared" si="14"/>
        <v>0</v>
      </c>
      <c r="I20" s="73">
        <f t="shared" si="14"/>
        <v>0</v>
      </c>
    </row>
    <row r="21" spans="2:9" ht="15.75" customHeight="1" x14ac:dyDescent="0.2">
      <c r="B21" s="123" t="s">
        <v>115</v>
      </c>
      <c r="C21" s="124"/>
      <c r="D21" s="78" t="s">
        <v>114</v>
      </c>
      <c r="E21" s="75">
        <f>+E114</f>
        <v>1528.97</v>
      </c>
      <c r="F21" s="75">
        <f t="shared" ref="F21:I21" si="15">+F114</f>
        <v>0</v>
      </c>
      <c r="G21" s="75">
        <f t="shared" si="15"/>
        <v>0</v>
      </c>
      <c r="H21" s="75">
        <f t="shared" si="15"/>
        <v>0</v>
      </c>
      <c r="I21" s="75">
        <f t="shared" si="15"/>
        <v>0</v>
      </c>
    </row>
    <row r="22" spans="2:9" ht="15.75" customHeight="1" x14ac:dyDescent="0.25">
      <c r="B22" s="112" t="s">
        <v>116</v>
      </c>
      <c r="C22" s="136"/>
      <c r="D22" s="137"/>
      <c r="E22" s="79">
        <f>+E23</f>
        <v>313526.01999999996</v>
      </c>
      <c r="F22" s="79">
        <f>F23</f>
        <v>296635</v>
      </c>
      <c r="G22" s="79">
        <f>G23</f>
        <v>517745</v>
      </c>
      <c r="H22" s="79">
        <f t="shared" ref="H22:I22" si="16">H23</f>
        <v>521125</v>
      </c>
      <c r="I22" s="79">
        <f t="shared" si="16"/>
        <v>618167</v>
      </c>
    </row>
    <row r="23" spans="2:9" ht="14.25" customHeight="1" x14ac:dyDescent="0.2">
      <c r="B23" s="112" t="s">
        <v>117</v>
      </c>
      <c r="C23" s="138"/>
      <c r="D23" s="139"/>
      <c r="E23" s="73">
        <f>E24+E55</f>
        <v>313526.01999999996</v>
      </c>
      <c r="F23" s="73">
        <f t="shared" ref="F23:G23" si="17">F24+F55</f>
        <v>296635</v>
      </c>
      <c r="G23" s="73">
        <f t="shared" si="17"/>
        <v>517745</v>
      </c>
      <c r="H23" s="73">
        <f t="shared" ref="H23:I23" si="18">H24+H55</f>
        <v>521125</v>
      </c>
      <c r="I23" s="73">
        <f t="shared" si="18"/>
        <v>618167</v>
      </c>
    </row>
    <row r="24" spans="2:9" ht="15.75" customHeight="1" x14ac:dyDescent="0.2">
      <c r="B24" s="117" t="s">
        <v>118</v>
      </c>
      <c r="C24" s="140"/>
      <c r="D24" s="119"/>
      <c r="E24" s="80">
        <f>+E25</f>
        <v>308217.11</v>
      </c>
      <c r="F24" s="80">
        <f t="shared" ref="F24:I25" si="19">+F25</f>
        <v>295308</v>
      </c>
      <c r="G24" s="80">
        <f t="shared" si="19"/>
        <v>497745</v>
      </c>
      <c r="H24" s="80">
        <f t="shared" si="19"/>
        <v>501125</v>
      </c>
      <c r="I24" s="80">
        <f t="shared" si="19"/>
        <v>498167</v>
      </c>
    </row>
    <row r="25" spans="2:9" ht="15.75" customHeight="1" x14ac:dyDescent="0.2">
      <c r="B25" s="112" t="s">
        <v>119</v>
      </c>
      <c r="C25" s="141"/>
      <c r="D25" s="114"/>
      <c r="E25" s="73">
        <f>+E26</f>
        <v>308217.11</v>
      </c>
      <c r="F25" s="73">
        <f t="shared" si="19"/>
        <v>295308</v>
      </c>
      <c r="G25" s="73">
        <f t="shared" si="19"/>
        <v>497745</v>
      </c>
      <c r="H25" s="73">
        <f t="shared" si="19"/>
        <v>501125</v>
      </c>
      <c r="I25" s="73">
        <f t="shared" si="19"/>
        <v>498167</v>
      </c>
    </row>
    <row r="26" spans="2:9" ht="15.75" customHeight="1" x14ac:dyDescent="0.2">
      <c r="B26" s="112" t="s">
        <v>120</v>
      </c>
      <c r="C26" s="141"/>
      <c r="D26" s="114"/>
      <c r="E26" s="73">
        <f>E27+E31+E53</f>
        <v>308217.11</v>
      </c>
      <c r="F26" s="73">
        <f t="shared" ref="F26:I26" si="20">F27+F31+F53</f>
        <v>295308</v>
      </c>
      <c r="G26" s="73">
        <f t="shared" si="20"/>
        <v>497745</v>
      </c>
      <c r="H26" s="73">
        <f t="shared" si="20"/>
        <v>501125</v>
      </c>
      <c r="I26" s="73">
        <f t="shared" si="20"/>
        <v>498167</v>
      </c>
    </row>
    <row r="27" spans="2:9" ht="15.75" customHeight="1" x14ac:dyDescent="0.2">
      <c r="B27" s="112" t="s">
        <v>121</v>
      </c>
      <c r="C27" s="141"/>
      <c r="D27" s="114"/>
      <c r="E27" s="73">
        <f>E28+E29+E30</f>
        <v>219202.62</v>
      </c>
      <c r="F27" s="73">
        <f t="shared" ref="F27:I27" si="21">F28+F29+F30</f>
        <v>238901</v>
      </c>
      <c r="G27" s="73">
        <f t="shared" si="21"/>
        <v>339745</v>
      </c>
      <c r="H27" s="73">
        <f>H28+H29+H30</f>
        <v>343125</v>
      </c>
      <c r="I27" s="73">
        <f t="shared" si="21"/>
        <v>340167</v>
      </c>
    </row>
    <row r="28" spans="2:9" ht="15.75" customHeight="1" x14ac:dyDescent="0.2">
      <c r="B28" s="109" t="s">
        <v>122</v>
      </c>
      <c r="C28" s="142"/>
      <c r="D28" s="143"/>
      <c r="E28" s="75">
        <v>182083.81</v>
      </c>
      <c r="F28" s="75">
        <v>199084</v>
      </c>
      <c r="G28" s="75">
        <v>282745</v>
      </c>
      <c r="H28" s="75">
        <v>286125</v>
      </c>
      <c r="I28" s="75">
        <v>283167</v>
      </c>
    </row>
    <row r="29" spans="2:9" ht="15.75" customHeight="1" x14ac:dyDescent="0.2">
      <c r="B29" s="109" t="s">
        <v>123</v>
      </c>
      <c r="C29" s="142"/>
      <c r="D29" s="143"/>
      <c r="E29" s="75">
        <v>7074.98</v>
      </c>
      <c r="F29" s="75">
        <v>6636</v>
      </c>
      <c r="G29" s="75">
        <v>12000</v>
      </c>
      <c r="H29" s="75">
        <v>12000</v>
      </c>
      <c r="I29" s="75">
        <v>12000</v>
      </c>
    </row>
    <row r="30" spans="2:9" ht="15.75" customHeight="1" x14ac:dyDescent="0.2">
      <c r="B30" s="109" t="s">
        <v>124</v>
      </c>
      <c r="C30" s="142"/>
      <c r="D30" s="143"/>
      <c r="E30" s="75">
        <v>30043.83</v>
      </c>
      <c r="F30" s="75">
        <v>33181</v>
      </c>
      <c r="G30" s="75">
        <v>45000</v>
      </c>
      <c r="H30" s="75">
        <v>45000</v>
      </c>
      <c r="I30" s="75">
        <v>45000</v>
      </c>
    </row>
    <row r="31" spans="2:9" ht="15.75" customHeight="1" x14ac:dyDescent="0.2">
      <c r="B31" s="112" t="s">
        <v>125</v>
      </c>
      <c r="C31" s="113"/>
      <c r="D31" s="114"/>
      <c r="E31" s="73">
        <f>E32+E33+E34+E35+E36+E37+E38+E39+E40+E41+E42+E43+E44+E45+E46+E47+E48+E49+E50+E51+E52</f>
        <v>87952.709999999977</v>
      </c>
      <c r="F31" s="73">
        <f t="shared" ref="F31:I31" si="22">F32+F33+F34+F35+F36+F37+F38+F39+F40+F41+F42+F43+F44+F45+F46+F47+F48+F49+F50+F51+F52</f>
        <v>55345</v>
      </c>
      <c r="G31" s="73">
        <f t="shared" si="22"/>
        <v>156000</v>
      </c>
      <c r="H31" s="73">
        <f t="shared" si="22"/>
        <v>156000</v>
      </c>
      <c r="I31" s="73">
        <f t="shared" si="22"/>
        <v>156000</v>
      </c>
    </row>
    <row r="32" spans="2:9" ht="15.75" customHeight="1" x14ac:dyDescent="0.2">
      <c r="B32" s="109" t="s">
        <v>126</v>
      </c>
      <c r="C32" s="110"/>
      <c r="D32" s="111"/>
      <c r="E32" s="75">
        <v>1327.22</v>
      </c>
      <c r="F32" s="75">
        <v>664</v>
      </c>
      <c r="G32" s="75">
        <v>3000</v>
      </c>
      <c r="H32" s="75">
        <v>3000</v>
      </c>
      <c r="I32" s="75">
        <v>3000</v>
      </c>
    </row>
    <row r="33" spans="2:9" ht="15.75" customHeight="1" x14ac:dyDescent="0.2">
      <c r="B33" s="109" t="s">
        <v>127</v>
      </c>
      <c r="C33" s="110"/>
      <c r="D33" s="111"/>
      <c r="E33" s="75">
        <v>10708.03</v>
      </c>
      <c r="F33" s="75">
        <v>11281</v>
      </c>
      <c r="G33" s="75">
        <v>35000</v>
      </c>
      <c r="H33" s="75">
        <v>35000</v>
      </c>
      <c r="I33" s="75">
        <v>35000</v>
      </c>
    </row>
    <row r="34" spans="2:9" ht="15.75" customHeight="1" x14ac:dyDescent="0.2">
      <c r="B34" s="109" t="s">
        <v>128</v>
      </c>
      <c r="C34" s="110"/>
      <c r="D34" s="111"/>
      <c r="E34" s="75">
        <v>530.89</v>
      </c>
      <c r="F34" s="75">
        <v>265</v>
      </c>
      <c r="G34" s="75">
        <v>1000</v>
      </c>
      <c r="H34" s="75">
        <v>1000</v>
      </c>
      <c r="I34" s="75">
        <v>1000</v>
      </c>
    </row>
    <row r="35" spans="2:9" ht="15.75" customHeight="1" x14ac:dyDescent="0.2">
      <c r="B35" s="109" t="s">
        <v>129</v>
      </c>
      <c r="C35" s="110"/>
      <c r="D35" s="111"/>
      <c r="E35" s="75">
        <v>2654.46</v>
      </c>
      <c r="F35" s="75">
        <v>1725</v>
      </c>
      <c r="G35" s="75">
        <v>4300</v>
      </c>
      <c r="H35" s="75">
        <v>4300</v>
      </c>
      <c r="I35" s="75">
        <v>4300</v>
      </c>
    </row>
    <row r="36" spans="2:9" ht="15.75" customHeight="1" x14ac:dyDescent="0.2">
      <c r="B36" s="109" t="s">
        <v>130</v>
      </c>
      <c r="C36" s="110"/>
      <c r="D36" s="111"/>
      <c r="E36" s="75">
        <v>29199.02</v>
      </c>
      <c r="F36" s="75">
        <v>9291</v>
      </c>
      <c r="G36" s="75">
        <v>34000</v>
      </c>
      <c r="H36" s="75">
        <v>34000</v>
      </c>
      <c r="I36" s="75">
        <v>34000</v>
      </c>
    </row>
    <row r="37" spans="2:9" ht="15.75" customHeight="1" x14ac:dyDescent="0.2">
      <c r="B37" s="109" t="s">
        <v>131</v>
      </c>
      <c r="C37" s="110"/>
      <c r="D37" s="111"/>
      <c r="E37" s="75">
        <v>2588.1</v>
      </c>
      <c r="F37" s="75">
        <v>1327</v>
      </c>
      <c r="G37" s="75">
        <v>5000</v>
      </c>
      <c r="H37" s="75">
        <v>5000</v>
      </c>
      <c r="I37" s="75">
        <v>5000</v>
      </c>
    </row>
    <row r="38" spans="2:9" ht="15.75" customHeight="1" x14ac:dyDescent="0.2">
      <c r="B38" s="109" t="s">
        <v>132</v>
      </c>
      <c r="C38" s="110"/>
      <c r="D38" s="111"/>
      <c r="E38" s="75">
        <v>1592.67</v>
      </c>
      <c r="F38" s="75">
        <v>664</v>
      </c>
      <c r="G38" s="75">
        <v>5000</v>
      </c>
      <c r="H38" s="75">
        <v>5000</v>
      </c>
      <c r="I38" s="75">
        <v>5000</v>
      </c>
    </row>
    <row r="39" spans="2:9" ht="15.75" customHeight="1" x14ac:dyDescent="0.2">
      <c r="B39" s="109" t="s">
        <v>133</v>
      </c>
      <c r="C39" s="110"/>
      <c r="D39" s="111"/>
      <c r="E39" s="75">
        <v>1990.84</v>
      </c>
      <c r="F39" s="75">
        <v>664</v>
      </c>
      <c r="G39" s="75">
        <v>3000</v>
      </c>
      <c r="H39" s="75">
        <v>3000</v>
      </c>
      <c r="I39" s="75">
        <v>3000</v>
      </c>
    </row>
    <row r="40" spans="2:9" ht="15.75" customHeight="1" x14ac:dyDescent="0.2">
      <c r="B40" s="109" t="s">
        <v>134</v>
      </c>
      <c r="C40" s="110"/>
      <c r="D40" s="111"/>
      <c r="E40" s="75">
        <v>5308.91</v>
      </c>
      <c r="F40" s="75">
        <v>3982</v>
      </c>
      <c r="G40" s="75">
        <v>7000</v>
      </c>
      <c r="H40" s="75">
        <v>7000</v>
      </c>
      <c r="I40" s="75">
        <v>7000</v>
      </c>
    </row>
    <row r="41" spans="2:9" ht="15.75" customHeight="1" x14ac:dyDescent="0.2">
      <c r="B41" s="109" t="s">
        <v>135</v>
      </c>
      <c r="C41" s="110"/>
      <c r="D41" s="111"/>
      <c r="E41" s="75">
        <v>7963.37</v>
      </c>
      <c r="F41" s="75">
        <v>1327</v>
      </c>
      <c r="G41" s="75">
        <v>19000</v>
      </c>
      <c r="H41" s="75">
        <v>17000</v>
      </c>
      <c r="I41" s="75">
        <v>19000</v>
      </c>
    </row>
    <row r="42" spans="2:9" ht="15.75" customHeight="1" x14ac:dyDescent="0.2">
      <c r="B42" s="109" t="s">
        <v>136</v>
      </c>
      <c r="C42" s="110"/>
      <c r="D42" s="111"/>
      <c r="E42" s="75">
        <v>1327.23</v>
      </c>
      <c r="F42" s="75">
        <v>1327</v>
      </c>
      <c r="G42" s="75">
        <v>5000</v>
      </c>
      <c r="H42" s="75">
        <v>5000</v>
      </c>
      <c r="I42" s="75">
        <v>5000</v>
      </c>
    </row>
    <row r="43" spans="2:9" ht="15.75" customHeight="1" x14ac:dyDescent="0.2">
      <c r="B43" s="109" t="s">
        <v>137</v>
      </c>
      <c r="C43" s="110"/>
      <c r="D43" s="111"/>
      <c r="E43" s="75">
        <v>1990.84</v>
      </c>
      <c r="F43" s="75">
        <v>1327</v>
      </c>
      <c r="G43" s="75">
        <v>2000</v>
      </c>
      <c r="H43" s="75">
        <v>2000</v>
      </c>
      <c r="I43" s="75">
        <v>2000</v>
      </c>
    </row>
    <row r="44" spans="2:9" ht="15.75" customHeight="1" x14ac:dyDescent="0.2">
      <c r="B44" s="109" t="s">
        <v>138</v>
      </c>
      <c r="C44" s="110"/>
      <c r="D44" s="111"/>
      <c r="E44" s="75">
        <v>1990.85</v>
      </c>
      <c r="F44" s="75">
        <v>1991</v>
      </c>
      <c r="G44" s="75">
        <v>1000</v>
      </c>
      <c r="H44" s="75">
        <v>1000</v>
      </c>
      <c r="I44" s="75">
        <v>1000</v>
      </c>
    </row>
    <row r="45" spans="2:9" ht="15.75" customHeight="1" x14ac:dyDescent="0.2">
      <c r="B45" s="109" t="s">
        <v>139</v>
      </c>
      <c r="C45" s="110"/>
      <c r="D45" s="111"/>
      <c r="E45" s="75">
        <v>0</v>
      </c>
      <c r="F45" s="75">
        <v>3318</v>
      </c>
      <c r="G45" s="75">
        <v>0</v>
      </c>
      <c r="H45" s="75">
        <v>2000</v>
      </c>
      <c r="I45" s="75">
        <v>0</v>
      </c>
    </row>
    <row r="46" spans="2:9" ht="15.75" customHeight="1" x14ac:dyDescent="0.2">
      <c r="B46" s="109" t="s">
        <v>140</v>
      </c>
      <c r="C46" s="110"/>
      <c r="D46" s="111"/>
      <c r="E46" s="75">
        <v>530.89</v>
      </c>
      <c r="F46" s="75">
        <v>664</v>
      </c>
      <c r="G46" s="75">
        <v>1000</v>
      </c>
      <c r="H46" s="75">
        <v>1000</v>
      </c>
      <c r="I46" s="75">
        <v>1000</v>
      </c>
    </row>
    <row r="47" spans="2:9" ht="15.75" customHeight="1" x14ac:dyDescent="0.2">
      <c r="B47" s="109" t="s">
        <v>141</v>
      </c>
      <c r="C47" s="110"/>
      <c r="D47" s="111"/>
      <c r="E47" s="75">
        <v>6636.14</v>
      </c>
      <c r="F47" s="75">
        <v>4645</v>
      </c>
      <c r="G47" s="75">
        <v>10000</v>
      </c>
      <c r="H47" s="75">
        <v>10000</v>
      </c>
      <c r="I47" s="75">
        <v>10000</v>
      </c>
    </row>
    <row r="48" spans="2:9" ht="15.75" customHeight="1" x14ac:dyDescent="0.2">
      <c r="B48" s="109" t="s">
        <v>142</v>
      </c>
      <c r="C48" s="110"/>
      <c r="D48" s="111"/>
      <c r="E48" s="75">
        <v>1725.4</v>
      </c>
      <c r="F48" s="75">
        <v>664</v>
      </c>
      <c r="G48" s="75">
        <v>5000</v>
      </c>
      <c r="H48" s="75">
        <v>5000</v>
      </c>
      <c r="I48" s="75">
        <v>5000</v>
      </c>
    </row>
    <row r="49" spans="2:10" ht="15.75" customHeight="1" x14ac:dyDescent="0.2">
      <c r="B49" s="109" t="s">
        <v>143</v>
      </c>
      <c r="C49" s="110"/>
      <c r="D49" s="111"/>
      <c r="E49" s="75">
        <v>2389.0100000000002</v>
      </c>
      <c r="F49" s="75">
        <v>2389</v>
      </c>
      <c r="G49" s="75">
        <v>9000</v>
      </c>
      <c r="H49" s="75">
        <v>9000</v>
      </c>
      <c r="I49" s="75">
        <v>9000</v>
      </c>
    </row>
    <row r="50" spans="2:10" ht="15.75" customHeight="1" x14ac:dyDescent="0.2">
      <c r="B50" s="109" t="s">
        <v>144</v>
      </c>
      <c r="C50" s="110"/>
      <c r="D50" s="111"/>
      <c r="E50" s="75">
        <v>6636.14</v>
      </c>
      <c r="F50" s="75">
        <v>6636</v>
      </c>
      <c r="G50" s="75">
        <v>5000</v>
      </c>
      <c r="H50" s="75">
        <v>5000</v>
      </c>
      <c r="I50" s="75">
        <v>5000</v>
      </c>
    </row>
    <row r="51" spans="2:10" ht="15.75" customHeight="1" x14ac:dyDescent="0.2">
      <c r="B51" s="109" t="s">
        <v>145</v>
      </c>
      <c r="C51" s="110"/>
      <c r="D51" s="111"/>
      <c r="E51" s="75">
        <v>597.25</v>
      </c>
      <c r="F51" s="75">
        <v>929</v>
      </c>
      <c r="G51" s="75">
        <v>700</v>
      </c>
      <c r="H51" s="75">
        <v>700</v>
      </c>
      <c r="I51" s="75">
        <v>700</v>
      </c>
    </row>
    <row r="52" spans="2:10" ht="15.75" customHeight="1" x14ac:dyDescent="0.2">
      <c r="B52" s="109" t="s">
        <v>146</v>
      </c>
      <c r="C52" s="110"/>
      <c r="D52" s="111"/>
      <c r="E52" s="75">
        <v>265.45</v>
      </c>
      <c r="F52" s="75">
        <v>265</v>
      </c>
      <c r="G52" s="75">
        <v>1000</v>
      </c>
      <c r="H52" s="75">
        <v>1000</v>
      </c>
      <c r="I52" s="75">
        <v>1000</v>
      </c>
    </row>
    <row r="53" spans="2:10" ht="15.75" customHeight="1" x14ac:dyDescent="0.2">
      <c r="B53" s="112" t="s">
        <v>147</v>
      </c>
      <c r="C53" s="113"/>
      <c r="D53" s="114"/>
      <c r="E53" s="73">
        <f>+E54</f>
        <v>1061.78</v>
      </c>
      <c r="F53" s="73">
        <f t="shared" ref="F53:I53" si="23">+F54</f>
        <v>1062</v>
      </c>
      <c r="G53" s="73">
        <f t="shared" si="23"/>
        <v>2000</v>
      </c>
      <c r="H53" s="73">
        <f>+H54</f>
        <v>2000</v>
      </c>
      <c r="I53" s="73">
        <f t="shared" si="23"/>
        <v>2000</v>
      </c>
    </row>
    <row r="54" spans="2:10" ht="15.75" customHeight="1" x14ac:dyDescent="0.2">
      <c r="B54" s="109" t="s">
        <v>148</v>
      </c>
      <c r="C54" s="110"/>
      <c r="D54" s="111"/>
      <c r="E54" s="75">
        <v>1061.78</v>
      </c>
      <c r="F54" s="75">
        <v>1062</v>
      </c>
      <c r="G54" s="75">
        <v>2000</v>
      </c>
      <c r="H54" s="75">
        <v>2000</v>
      </c>
      <c r="I54" s="75">
        <v>2000</v>
      </c>
    </row>
    <row r="55" spans="2:10" ht="15.75" customHeight="1" x14ac:dyDescent="0.2">
      <c r="B55" s="117" t="s">
        <v>149</v>
      </c>
      <c r="C55" s="118"/>
      <c r="D55" s="119"/>
      <c r="E55" s="80">
        <f>+E56</f>
        <v>5308.91</v>
      </c>
      <c r="F55" s="80">
        <f t="shared" ref="F55:I57" si="24">+F56</f>
        <v>1327</v>
      </c>
      <c r="G55" s="80">
        <f t="shared" si="24"/>
        <v>20000</v>
      </c>
      <c r="H55" s="80">
        <f t="shared" si="24"/>
        <v>20000</v>
      </c>
      <c r="I55" s="80">
        <f t="shared" si="24"/>
        <v>120000</v>
      </c>
    </row>
    <row r="56" spans="2:10" ht="15.75" customHeight="1" x14ac:dyDescent="0.2">
      <c r="B56" s="112" t="s">
        <v>119</v>
      </c>
      <c r="C56" s="113"/>
      <c r="D56" s="114"/>
      <c r="E56" s="73">
        <f>+E57</f>
        <v>5308.91</v>
      </c>
      <c r="F56" s="73">
        <f t="shared" si="24"/>
        <v>1327</v>
      </c>
      <c r="G56" s="73">
        <f t="shared" si="24"/>
        <v>20000</v>
      </c>
      <c r="H56" s="73">
        <f t="shared" si="24"/>
        <v>20000</v>
      </c>
      <c r="I56" s="73">
        <f t="shared" si="24"/>
        <v>120000</v>
      </c>
    </row>
    <row r="57" spans="2:10" ht="15.75" customHeight="1" x14ac:dyDescent="0.2">
      <c r="B57" s="112" t="s">
        <v>120</v>
      </c>
      <c r="C57" s="113"/>
      <c r="D57" s="114"/>
      <c r="E57" s="73">
        <f>+E58</f>
        <v>5308.91</v>
      </c>
      <c r="F57" s="73">
        <f t="shared" si="24"/>
        <v>1327</v>
      </c>
      <c r="G57" s="73">
        <f t="shared" si="24"/>
        <v>20000</v>
      </c>
      <c r="H57" s="73">
        <f t="shared" si="24"/>
        <v>20000</v>
      </c>
      <c r="I57" s="73">
        <f t="shared" si="24"/>
        <v>120000</v>
      </c>
    </row>
    <row r="58" spans="2:10" ht="15.75" customHeight="1" x14ac:dyDescent="0.2">
      <c r="B58" s="112" t="s">
        <v>125</v>
      </c>
      <c r="C58" s="113"/>
      <c r="D58" s="114"/>
      <c r="E58" s="73">
        <f t="shared" ref="E58:F58" si="25">+E60+E59</f>
        <v>5308.91</v>
      </c>
      <c r="F58" s="73">
        <f t="shared" si="25"/>
        <v>1327</v>
      </c>
      <c r="G58" s="73">
        <f>+G60+G59</f>
        <v>20000</v>
      </c>
      <c r="H58" s="73">
        <f t="shared" ref="H58:I58" si="26">+H60+H59</f>
        <v>20000</v>
      </c>
      <c r="I58" s="73">
        <f t="shared" si="26"/>
        <v>120000</v>
      </c>
    </row>
    <row r="59" spans="2:10" ht="15.75" customHeight="1" x14ac:dyDescent="0.2">
      <c r="B59" s="109" t="s">
        <v>135</v>
      </c>
      <c r="C59" s="110"/>
      <c r="D59" s="111"/>
      <c r="E59" s="75">
        <v>0</v>
      </c>
      <c r="F59" s="75">
        <v>0</v>
      </c>
      <c r="G59" s="75">
        <v>17000</v>
      </c>
      <c r="H59" s="75">
        <v>17000</v>
      </c>
      <c r="I59" s="75">
        <v>117000</v>
      </c>
    </row>
    <row r="60" spans="2:10" ht="15.75" customHeight="1" x14ac:dyDescent="0.2">
      <c r="B60" s="109" t="s">
        <v>140</v>
      </c>
      <c r="C60" s="110"/>
      <c r="D60" s="111"/>
      <c r="E60" s="75">
        <v>5308.91</v>
      </c>
      <c r="F60" s="75">
        <v>1327</v>
      </c>
      <c r="G60" s="75">
        <v>3000</v>
      </c>
      <c r="H60" s="75">
        <v>3000</v>
      </c>
      <c r="I60" s="75">
        <v>3000</v>
      </c>
    </row>
    <row r="61" spans="2:10" ht="27.75" customHeight="1" x14ac:dyDescent="0.2">
      <c r="B61" s="117" t="s">
        <v>150</v>
      </c>
      <c r="C61" s="118"/>
      <c r="D61" s="119"/>
      <c r="E61" s="80">
        <f>+E62</f>
        <v>127139.17</v>
      </c>
      <c r="F61" s="80">
        <f t="shared" ref="F61:I61" si="27">+F62</f>
        <v>176034</v>
      </c>
      <c r="G61" s="80">
        <f t="shared" si="27"/>
        <v>232288</v>
      </c>
      <c r="H61" s="80">
        <f t="shared" si="27"/>
        <v>157060</v>
      </c>
      <c r="I61" s="80">
        <f t="shared" si="27"/>
        <v>177060</v>
      </c>
      <c r="J61" s="81"/>
    </row>
    <row r="62" spans="2:10" ht="15.75" customHeight="1" x14ac:dyDescent="0.2">
      <c r="B62" s="112" t="s">
        <v>151</v>
      </c>
      <c r="C62" s="113"/>
      <c r="D62" s="114"/>
      <c r="E62" s="73">
        <f>+E63+E84+E92+E109+E115</f>
        <v>127139.17</v>
      </c>
      <c r="F62" s="73">
        <f t="shared" ref="F62:I62" si="28">+F63+F84+F92+F109+F115</f>
        <v>176034</v>
      </c>
      <c r="G62" s="73">
        <f t="shared" si="28"/>
        <v>232288</v>
      </c>
      <c r="H62" s="73">
        <f t="shared" si="28"/>
        <v>157060</v>
      </c>
      <c r="I62" s="73">
        <f t="shared" si="28"/>
        <v>177060</v>
      </c>
    </row>
    <row r="63" spans="2:10" ht="15.75" customHeight="1" x14ac:dyDescent="0.2">
      <c r="B63" s="112" t="s">
        <v>152</v>
      </c>
      <c r="C63" s="113"/>
      <c r="D63" s="114"/>
      <c r="E63" s="73">
        <f>E64+E68+E82</f>
        <v>39701.310000000005</v>
      </c>
      <c r="F63" s="73">
        <f>F64+F68+F82</f>
        <v>80961</v>
      </c>
      <c r="G63" s="73">
        <f>G64+G68+G82</f>
        <v>40000</v>
      </c>
      <c r="H63" s="73">
        <f>H64+H68+H82</f>
        <v>60000</v>
      </c>
      <c r="I63" s="73">
        <f>I64+I68+I82</f>
        <v>80000</v>
      </c>
      <c r="J63" s="81"/>
    </row>
    <row r="64" spans="2:10" ht="15.75" customHeight="1" x14ac:dyDescent="0.2">
      <c r="B64" s="112" t="s">
        <v>121</v>
      </c>
      <c r="C64" s="113"/>
      <c r="D64" s="114"/>
      <c r="E64" s="73">
        <f>E65+E66+E67</f>
        <v>17766.32</v>
      </c>
      <c r="F64" s="73">
        <f t="shared" ref="F64:I64" si="29">F65+F66+F67</f>
        <v>59061</v>
      </c>
      <c r="G64" s="73">
        <f>G65+G66+G67</f>
        <v>31000</v>
      </c>
      <c r="H64" s="73">
        <f t="shared" si="29"/>
        <v>31500</v>
      </c>
      <c r="I64" s="73">
        <f t="shared" si="29"/>
        <v>31000</v>
      </c>
    </row>
    <row r="65" spans="2:9" ht="15.75" customHeight="1" x14ac:dyDescent="0.2">
      <c r="B65" s="109" t="s">
        <v>122</v>
      </c>
      <c r="C65" s="110"/>
      <c r="D65" s="111"/>
      <c r="E65" s="75">
        <v>14139.3</v>
      </c>
      <c r="F65" s="75">
        <v>47780</v>
      </c>
      <c r="G65" s="75">
        <v>25000</v>
      </c>
      <c r="H65" s="75">
        <v>25000</v>
      </c>
      <c r="I65" s="75">
        <v>25000</v>
      </c>
    </row>
    <row r="66" spans="2:9" ht="15.75" customHeight="1" x14ac:dyDescent="0.2">
      <c r="B66" s="109" t="s">
        <v>123</v>
      </c>
      <c r="C66" s="110"/>
      <c r="D66" s="111"/>
      <c r="E66" s="75">
        <v>1294.04</v>
      </c>
      <c r="F66" s="75">
        <v>2654</v>
      </c>
      <c r="G66" s="75">
        <v>2000</v>
      </c>
      <c r="H66" s="75">
        <v>2500</v>
      </c>
      <c r="I66" s="75">
        <v>2000</v>
      </c>
    </row>
    <row r="67" spans="2:9" ht="15.75" customHeight="1" x14ac:dyDescent="0.2">
      <c r="B67" s="109" t="s">
        <v>124</v>
      </c>
      <c r="C67" s="110"/>
      <c r="D67" s="111"/>
      <c r="E67" s="75">
        <v>2332.98</v>
      </c>
      <c r="F67" s="75">
        <v>8627</v>
      </c>
      <c r="G67" s="75">
        <v>4000</v>
      </c>
      <c r="H67" s="75">
        <v>4000</v>
      </c>
      <c r="I67" s="75">
        <v>4000</v>
      </c>
    </row>
    <row r="68" spans="2:9" ht="15.75" customHeight="1" x14ac:dyDescent="0.2">
      <c r="B68" s="112" t="s">
        <v>125</v>
      </c>
      <c r="C68" s="113"/>
      <c r="D68" s="114"/>
      <c r="E68" s="73">
        <f>E69+E70+E71+E72+E73+E74+E75+E76+E79++E77+E78+E80+E81</f>
        <v>21150.530000000002</v>
      </c>
      <c r="F68" s="73">
        <f>F69+F70+F71+F72+F73+F74+F75+F76+F79++F77+F78+F80+F81</f>
        <v>21900</v>
      </c>
      <c r="G68" s="73">
        <f>G69+G70+G71+G72+G73+G74+G75+G76+G79++G77+G78+G80+G81</f>
        <v>9000</v>
      </c>
      <c r="H68" s="73">
        <f t="shared" ref="H68:I68" si="30">H69+H70+H71+H72+H73+H74+H75+H76+H79++H77+H78+H80+H81</f>
        <v>28500</v>
      </c>
      <c r="I68" s="73">
        <f t="shared" si="30"/>
        <v>49000</v>
      </c>
    </row>
    <row r="69" spans="2:9" ht="15.75" customHeight="1" x14ac:dyDescent="0.2">
      <c r="B69" s="109" t="s">
        <v>127</v>
      </c>
      <c r="C69" s="110"/>
      <c r="D69" s="111"/>
      <c r="E69" s="75">
        <v>0</v>
      </c>
      <c r="F69" s="75">
        <v>3982</v>
      </c>
      <c r="G69" s="75">
        <v>0</v>
      </c>
      <c r="H69" s="75">
        <v>0</v>
      </c>
      <c r="I69" s="75">
        <v>0</v>
      </c>
    </row>
    <row r="70" spans="2:9" ht="15.75" customHeight="1" x14ac:dyDescent="0.2">
      <c r="B70" s="109" t="s">
        <v>129</v>
      </c>
      <c r="C70" s="110"/>
      <c r="D70" s="111"/>
      <c r="E70" s="75">
        <v>0</v>
      </c>
      <c r="F70" s="75">
        <v>0</v>
      </c>
      <c r="G70" s="75">
        <v>1000</v>
      </c>
      <c r="H70" s="75">
        <v>0</v>
      </c>
      <c r="I70" s="75">
        <v>0</v>
      </c>
    </row>
    <row r="71" spans="2:9" ht="15.75" customHeight="1" x14ac:dyDescent="0.2">
      <c r="B71" s="109" t="s">
        <v>163</v>
      </c>
      <c r="C71" s="110"/>
      <c r="D71" s="111"/>
      <c r="E71" s="75">
        <v>3770.77</v>
      </c>
      <c r="F71" s="75">
        <v>0</v>
      </c>
      <c r="G71" s="75">
        <v>0</v>
      </c>
      <c r="H71" s="75">
        <v>0</v>
      </c>
      <c r="I71" s="75">
        <v>0</v>
      </c>
    </row>
    <row r="72" spans="2:9" ht="15.75" customHeight="1" x14ac:dyDescent="0.2">
      <c r="B72" s="109" t="s">
        <v>130</v>
      </c>
      <c r="C72" s="110"/>
      <c r="D72" s="111"/>
      <c r="E72" s="75">
        <v>5984.74</v>
      </c>
      <c r="F72" s="75">
        <v>1327</v>
      </c>
      <c r="G72" s="75">
        <v>0</v>
      </c>
      <c r="H72" s="75">
        <v>0</v>
      </c>
      <c r="I72" s="75">
        <v>0</v>
      </c>
    </row>
    <row r="73" spans="2:9" ht="15.75" customHeight="1" x14ac:dyDescent="0.2">
      <c r="B73" s="109" t="s">
        <v>132</v>
      </c>
      <c r="C73" s="110"/>
      <c r="D73" s="111"/>
      <c r="E73" s="75">
        <v>4019.03</v>
      </c>
      <c r="F73" s="75">
        <v>4645</v>
      </c>
      <c r="G73" s="75">
        <v>0</v>
      </c>
      <c r="H73" s="75">
        <v>0</v>
      </c>
      <c r="I73" s="75">
        <v>0</v>
      </c>
    </row>
    <row r="74" spans="2:9" ht="15.75" customHeight="1" x14ac:dyDescent="0.2">
      <c r="B74" s="109" t="s">
        <v>134</v>
      </c>
      <c r="C74" s="110"/>
      <c r="D74" s="111"/>
      <c r="E74" s="75">
        <v>597.25</v>
      </c>
      <c r="F74" s="75">
        <v>664</v>
      </c>
      <c r="G74" s="75">
        <v>0</v>
      </c>
      <c r="H74" s="75">
        <v>0</v>
      </c>
      <c r="I74" s="75">
        <v>0</v>
      </c>
    </row>
    <row r="75" spans="2:9" ht="15.75" customHeight="1" x14ac:dyDescent="0.2">
      <c r="B75" s="109" t="s">
        <v>135</v>
      </c>
      <c r="C75" s="110"/>
      <c r="D75" s="111"/>
      <c r="E75" s="75">
        <v>0</v>
      </c>
      <c r="F75" s="75">
        <v>3982</v>
      </c>
      <c r="G75" s="75">
        <v>2500</v>
      </c>
      <c r="H75" s="75">
        <v>20000</v>
      </c>
      <c r="I75" s="75">
        <v>40000</v>
      </c>
    </row>
    <row r="76" spans="2:9" ht="15.75" customHeight="1" x14ac:dyDescent="0.2">
      <c r="B76" s="109" t="s">
        <v>136</v>
      </c>
      <c r="C76" s="110"/>
      <c r="D76" s="111"/>
      <c r="E76" s="75">
        <v>0</v>
      </c>
      <c r="F76" s="75">
        <v>6636</v>
      </c>
      <c r="G76" s="75">
        <v>0</v>
      </c>
      <c r="H76" s="75">
        <v>0</v>
      </c>
      <c r="I76" s="75">
        <v>0</v>
      </c>
    </row>
    <row r="77" spans="2:9" ht="15.75" customHeight="1" x14ac:dyDescent="0.2">
      <c r="B77" s="109" t="s">
        <v>140</v>
      </c>
      <c r="C77" s="115"/>
      <c r="D77" s="116"/>
      <c r="E77" s="75">
        <v>2277.37</v>
      </c>
      <c r="F77" s="75">
        <v>0</v>
      </c>
      <c r="G77" s="75">
        <v>2500</v>
      </c>
      <c r="H77" s="75">
        <v>0</v>
      </c>
      <c r="I77" s="75">
        <v>0</v>
      </c>
    </row>
    <row r="78" spans="2:9" ht="15.75" customHeight="1" x14ac:dyDescent="0.2">
      <c r="B78" s="109" t="s">
        <v>142</v>
      </c>
      <c r="C78" s="115"/>
      <c r="D78" s="116"/>
      <c r="E78" s="75">
        <v>1576.08</v>
      </c>
      <c r="F78" s="75">
        <v>0</v>
      </c>
      <c r="G78" s="75">
        <v>0</v>
      </c>
      <c r="H78" s="75">
        <v>0</v>
      </c>
      <c r="I78" s="75">
        <v>0</v>
      </c>
    </row>
    <row r="79" spans="2:9" ht="15.75" customHeight="1" x14ac:dyDescent="0.2">
      <c r="B79" s="109" t="s">
        <v>153</v>
      </c>
      <c r="C79" s="115"/>
      <c r="D79" s="116"/>
      <c r="E79" s="75">
        <v>58.2</v>
      </c>
      <c r="F79" s="75">
        <v>664</v>
      </c>
      <c r="G79" s="75">
        <v>2000</v>
      </c>
      <c r="H79" s="75">
        <v>500</v>
      </c>
      <c r="I79" s="75">
        <v>500</v>
      </c>
    </row>
    <row r="80" spans="2:9" ht="15.75" customHeight="1" x14ac:dyDescent="0.2">
      <c r="B80" s="109" t="s">
        <v>164</v>
      </c>
      <c r="C80" s="115"/>
      <c r="D80" s="116"/>
      <c r="E80" s="75">
        <v>2867.09</v>
      </c>
      <c r="F80" s="75">
        <v>0</v>
      </c>
      <c r="G80" s="75">
        <v>0</v>
      </c>
      <c r="H80" s="75">
        <v>8000</v>
      </c>
      <c r="I80" s="75">
        <v>0</v>
      </c>
    </row>
    <row r="81" spans="2:9" ht="15.75" customHeight="1" x14ac:dyDescent="0.2">
      <c r="B81" s="109" t="s">
        <v>146</v>
      </c>
      <c r="C81" s="110"/>
      <c r="D81" s="111"/>
      <c r="E81" s="75">
        <v>0</v>
      </c>
      <c r="F81" s="75">
        <v>0</v>
      </c>
      <c r="G81" s="75">
        <v>1000</v>
      </c>
      <c r="H81" s="75">
        <v>0</v>
      </c>
      <c r="I81" s="75">
        <v>8500</v>
      </c>
    </row>
    <row r="82" spans="2:9" ht="15.75" customHeight="1" x14ac:dyDescent="0.2">
      <c r="B82" s="112" t="s">
        <v>158</v>
      </c>
      <c r="C82" s="113"/>
      <c r="D82" s="114"/>
      <c r="E82" s="73">
        <f>+E83</f>
        <v>784.46</v>
      </c>
      <c r="F82" s="73">
        <f t="shared" ref="F82:I82" si="31">+F83</f>
        <v>0</v>
      </c>
      <c r="G82" s="73">
        <f t="shared" si="31"/>
        <v>0</v>
      </c>
      <c r="H82" s="73">
        <f t="shared" si="31"/>
        <v>0</v>
      </c>
      <c r="I82" s="73">
        <f t="shared" si="31"/>
        <v>0</v>
      </c>
    </row>
    <row r="83" spans="2:9" ht="15.75" customHeight="1" x14ac:dyDescent="0.2">
      <c r="B83" s="109" t="s">
        <v>165</v>
      </c>
      <c r="C83" s="115"/>
      <c r="D83" s="116"/>
      <c r="E83" s="75">
        <v>784.46</v>
      </c>
      <c r="F83" s="75">
        <v>0</v>
      </c>
      <c r="G83" s="75">
        <v>0</v>
      </c>
      <c r="H83" s="75">
        <v>0</v>
      </c>
      <c r="I83" s="75">
        <v>0</v>
      </c>
    </row>
    <row r="84" spans="2:9" ht="15.75" customHeight="1" x14ac:dyDescent="0.2">
      <c r="B84" s="112" t="s">
        <v>154</v>
      </c>
      <c r="C84" s="113"/>
      <c r="D84" s="114"/>
      <c r="E84" s="73">
        <f>+E85</f>
        <v>14189.199999999999</v>
      </c>
      <c r="F84" s="73">
        <f t="shared" ref="F84:I85" si="32">+F85</f>
        <v>4111</v>
      </c>
      <c r="G84" s="73">
        <f t="shared" si="32"/>
        <v>9060</v>
      </c>
      <c r="H84" s="73">
        <f t="shared" si="32"/>
        <v>9060</v>
      </c>
      <c r="I84" s="73">
        <f t="shared" si="32"/>
        <v>9060</v>
      </c>
    </row>
    <row r="85" spans="2:9" ht="15.75" customHeight="1" x14ac:dyDescent="0.2">
      <c r="B85" s="112" t="s">
        <v>155</v>
      </c>
      <c r="C85" s="113"/>
      <c r="D85" s="114"/>
      <c r="E85" s="73">
        <f>+E86</f>
        <v>14189.199999999999</v>
      </c>
      <c r="F85" s="73">
        <f t="shared" si="32"/>
        <v>4111</v>
      </c>
      <c r="G85" s="73">
        <f t="shared" si="32"/>
        <v>9060</v>
      </c>
      <c r="H85" s="73">
        <f t="shared" si="32"/>
        <v>9060</v>
      </c>
      <c r="I85" s="73">
        <f t="shared" si="32"/>
        <v>9060</v>
      </c>
    </row>
    <row r="86" spans="2:9" ht="15.75" customHeight="1" x14ac:dyDescent="0.2">
      <c r="B86" s="112" t="s">
        <v>125</v>
      </c>
      <c r="C86" s="113"/>
      <c r="D86" s="114"/>
      <c r="E86" s="73">
        <f>E87+E88+E89+E90</f>
        <v>14189.199999999999</v>
      </c>
      <c r="F86" s="73">
        <f>F87+F88+F89+F90</f>
        <v>4111</v>
      </c>
      <c r="G86" s="73">
        <f>G87+G88+G89+G90</f>
        <v>9060</v>
      </c>
      <c r="H86" s="73">
        <f t="shared" ref="H86:I86" si="33">H87+H88+H89+H90</f>
        <v>9060</v>
      </c>
      <c r="I86" s="73">
        <f t="shared" si="33"/>
        <v>9060</v>
      </c>
    </row>
    <row r="87" spans="2:9" ht="15.75" customHeight="1" x14ac:dyDescent="0.2">
      <c r="B87" s="109" t="s">
        <v>135</v>
      </c>
      <c r="C87" s="110"/>
      <c r="D87" s="111"/>
      <c r="E87" s="75">
        <v>9928.4599999999991</v>
      </c>
      <c r="F87" s="75">
        <v>51</v>
      </c>
      <c r="G87" s="75">
        <v>0</v>
      </c>
      <c r="H87" s="75">
        <v>0</v>
      </c>
      <c r="I87" s="75">
        <v>0</v>
      </c>
    </row>
    <row r="88" spans="2:9" ht="15.75" customHeight="1" x14ac:dyDescent="0.2">
      <c r="B88" s="109" t="s">
        <v>136</v>
      </c>
      <c r="C88" s="110"/>
      <c r="D88" s="111"/>
      <c r="E88" s="75">
        <v>0</v>
      </c>
      <c r="F88" s="75">
        <v>0</v>
      </c>
      <c r="G88" s="75">
        <v>5000</v>
      </c>
      <c r="H88" s="75">
        <v>5000</v>
      </c>
      <c r="I88" s="75">
        <v>5000</v>
      </c>
    </row>
    <row r="89" spans="2:9" ht="15.75" customHeight="1" x14ac:dyDescent="0.2">
      <c r="B89" s="109" t="s">
        <v>138</v>
      </c>
      <c r="C89" s="110"/>
      <c r="D89" s="111"/>
      <c r="E89" s="75">
        <v>4060.44</v>
      </c>
      <c r="F89" s="75">
        <v>4060</v>
      </c>
      <c r="G89" s="75">
        <v>4060</v>
      </c>
      <c r="H89" s="75">
        <v>4060</v>
      </c>
      <c r="I89" s="75">
        <v>4060</v>
      </c>
    </row>
    <row r="90" spans="2:9" ht="15.75" customHeight="1" x14ac:dyDescent="0.2">
      <c r="B90" s="109" t="s">
        <v>174</v>
      </c>
      <c r="C90" s="110"/>
      <c r="D90" s="111"/>
      <c r="E90" s="75">
        <v>200.3</v>
      </c>
      <c r="F90" s="75">
        <v>0</v>
      </c>
      <c r="G90" s="75">
        <v>0</v>
      </c>
      <c r="H90" s="75">
        <v>0</v>
      </c>
      <c r="I90" s="75">
        <v>0</v>
      </c>
    </row>
    <row r="91" spans="2:9" ht="15.75" customHeight="1" x14ac:dyDescent="0.2">
      <c r="B91" s="112" t="s">
        <v>156</v>
      </c>
      <c r="C91" s="113"/>
      <c r="D91" s="114"/>
      <c r="E91" s="73">
        <f>+E92</f>
        <v>68764.01999999999</v>
      </c>
      <c r="F91" s="73">
        <f t="shared" ref="F91:I91" si="34">+F92</f>
        <v>90962</v>
      </c>
      <c r="G91" s="73">
        <f>+G92</f>
        <v>183228</v>
      </c>
      <c r="H91" s="73">
        <f t="shared" si="34"/>
        <v>88000</v>
      </c>
      <c r="I91" s="73">
        <f t="shared" si="34"/>
        <v>88000</v>
      </c>
    </row>
    <row r="92" spans="2:9" ht="15.75" customHeight="1" x14ac:dyDescent="0.2">
      <c r="B92" s="112" t="s">
        <v>157</v>
      </c>
      <c r="C92" s="113"/>
      <c r="D92" s="114"/>
      <c r="E92" s="73">
        <f>E93+E105</f>
        <v>68764.01999999999</v>
      </c>
      <c r="F92" s="73">
        <f t="shared" ref="F92:I92" si="35">F93+F105</f>
        <v>90962</v>
      </c>
      <c r="G92" s="73">
        <f>G93+G105</f>
        <v>183228</v>
      </c>
      <c r="H92" s="73">
        <f t="shared" si="35"/>
        <v>88000</v>
      </c>
      <c r="I92" s="73">
        <f t="shared" si="35"/>
        <v>88000</v>
      </c>
    </row>
    <row r="93" spans="2:9" ht="15.75" customHeight="1" x14ac:dyDescent="0.2">
      <c r="B93" s="112" t="s">
        <v>125</v>
      </c>
      <c r="C93" s="113"/>
      <c r="D93" s="114"/>
      <c r="E93" s="73">
        <f>SUM(E94:E104)</f>
        <v>68764.01999999999</v>
      </c>
      <c r="F93" s="73">
        <f>SUM(F94:F104)</f>
        <v>70273</v>
      </c>
      <c r="G93" s="73">
        <f>SUM(G94:G104)</f>
        <v>179228</v>
      </c>
      <c r="H93" s="73">
        <f t="shared" ref="H93:I93" si="36">SUM(H94:H104)</f>
        <v>24000</v>
      </c>
      <c r="I93" s="73">
        <f t="shared" si="36"/>
        <v>44000</v>
      </c>
    </row>
    <row r="94" spans="2:9" ht="15.75" customHeight="1" x14ac:dyDescent="0.2">
      <c r="B94" s="109" t="s">
        <v>129</v>
      </c>
      <c r="C94" s="110"/>
      <c r="D94" s="111"/>
      <c r="E94" s="75">
        <v>10365.719999999999</v>
      </c>
      <c r="F94" s="75">
        <v>4622</v>
      </c>
      <c r="G94" s="75">
        <v>4622</v>
      </c>
      <c r="H94" s="75">
        <v>0</v>
      </c>
      <c r="I94" s="75">
        <v>0</v>
      </c>
    </row>
    <row r="95" spans="2:9" ht="15.75" customHeight="1" x14ac:dyDescent="0.2">
      <c r="B95" s="109" t="s">
        <v>130</v>
      </c>
      <c r="C95" s="110"/>
      <c r="D95" s="111"/>
      <c r="E95" s="75">
        <v>2405.1</v>
      </c>
      <c r="F95" s="75">
        <v>0</v>
      </c>
      <c r="G95" s="75">
        <v>0</v>
      </c>
      <c r="H95" s="75">
        <v>0</v>
      </c>
      <c r="I95" s="75">
        <v>0</v>
      </c>
    </row>
    <row r="96" spans="2:9" ht="15.75" customHeight="1" x14ac:dyDescent="0.2">
      <c r="B96" s="109" t="s">
        <v>131</v>
      </c>
      <c r="C96" s="110"/>
      <c r="D96" s="111"/>
      <c r="E96" s="75">
        <v>1172.75</v>
      </c>
      <c r="F96" s="75">
        <v>0</v>
      </c>
      <c r="G96" s="75">
        <v>0</v>
      </c>
      <c r="H96" s="75">
        <v>0</v>
      </c>
      <c r="I96" s="75">
        <v>0</v>
      </c>
    </row>
    <row r="97" spans="2:9" ht="15.75" customHeight="1" x14ac:dyDescent="0.2">
      <c r="B97" s="109" t="s">
        <v>132</v>
      </c>
      <c r="C97" s="110"/>
      <c r="D97" s="111"/>
      <c r="E97" s="75">
        <v>0</v>
      </c>
      <c r="F97" s="75">
        <v>0</v>
      </c>
      <c r="G97" s="75">
        <v>10000</v>
      </c>
      <c r="H97" s="75">
        <v>0</v>
      </c>
      <c r="I97" s="75">
        <v>0</v>
      </c>
    </row>
    <row r="98" spans="2:9" ht="15.75" customHeight="1" x14ac:dyDescent="0.2">
      <c r="B98" s="109" t="s">
        <v>134</v>
      </c>
      <c r="C98" s="110"/>
      <c r="D98" s="111"/>
      <c r="E98" s="75">
        <v>7186.4</v>
      </c>
      <c r="F98" s="75">
        <v>0</v>
      </c>
      <c r="G98" s="75">
        <v>0</v>
      </c>
      <c r="H98" s="75">
        <v>0</v>
      </c>
      <c r="I98" s="75">
        <v>0</v>
      </c>
    </row>
    <row r="99" spans="2:9" ht="15.75" customHeight="1" x14ac:dyDescent="0.2">
      <c r="B99" s="109" t="s">
        <v>135</v>
      </c>
      <c r="C99" s="110"/>
      <c r="D99" s="111"/>
      <c r="E99" s="75">
        <v>19649.419999999998</v>
      </c>
      <c r="F99" s="75">
        <v>39817</v>
      </c>
      <c r="G99" s="75">
        <v>130606</v>
      </c>
      <c r="H99" s="75">
        <v>20000</v>
      </c>
      <c r="I99" s="75">
        <v>40000</v>
      </c>
    </row>
    <row r="100" spans="2:9" ht="15.75" customHeight="1" x14ac:dyDescent="0.2">
      <c r="B100" s="109" t="s">
        <v>136</v>
      </c>
      <c r="C100" s="110"/>
      <c r="D100" s="111"/>
      <c r="E100" s="75">
        <v>4571.2299999999996</v>
      </c>
      <c r="F100" s="75">
        <v>5926</v>
      </c>
      <c r="G100" s="75">
        <v>10000</v>
      </c>
      <c r="H100" s="75">
        <v>0</v>
      </c>
      <c r="I100" s="75">
        <v>0</v>
      </c>
    </row>
    <row r="101" spans="2:9" ht="15.75" customHeight="1" x14ac:dyDescent="0.2">
      <c r="B101" s="109" t="s">
        <v>137</v>
      </c>
      <c r="C101" s="110"/>
      <c r="D101" s="111"/>
      <c r="E101" s="75">
        <v>0</v>
      </c>
      <c r="F101" s="75">
        <v>19908</v>
      </c>
      <c r="G101" s="75">
        <v>20000</v>
      </c>
      <c r="H101" s="75">
        <v>0</v>
      </c>
      <c r="I101" s="75">
        <v>0</v>
      </c>
    </row>
    <row r="102" spans="2:9" ht="15.75" customHeight="1" x14ac:dyDescent="0.2">
      <c r="B102" s="109" t="s">
        <v>140</v>
      </c>
      <c r="C102" s="115"/>
      <c r="D102" s="116"/>
      <c r="E102" s="75">
        <v>22065.17</v>
      </c>
      <c r="F102" s="75">
        <v>0</v>
      </c>
      <c r="G102" s="75">
        <v>4000</v>
      </c>
      <c r="H102" s="75">
        <v>4000</v>
      </c>
      <c r="I102" s="75">
        <v>4000</v>
      </c>
    </row>
    <row r="103" spans="2:9" ht="15.75" customHeight="1" x14ac:dyDescent="0.2">
      <c r="B103" s="109" t="s">
        <v>142</v>
      </c>
      <c r="C103" s="115"/>
      <c r="D103" s="116"/>
      <c r="E103" s="75">
        <v>663.61</v>
      </c>
      <c r="F103" s="75">
        <v>0</v>
      </c>
      <c r="G103" s="75">
        <v>0</v>
      </c>
      <c r="H103" s="75">
        <v>0</v>
      </c>
      <c r="I103" s="75">
        <v>0</v>
      </c>
    </row>
    <row r="104" spans="2:9" ht="15.75" customHeight="1" x14ac:dyDescent="0.2">
      <c r="B104" s="109" t="s">
        <v>166</v>
      </c>
      <c r="C104" s="115"/>
      <c r="D104" s="116"/>
      <c r="E104" s="75">
        <v>684.62</v>
      </c>
      <c r="F104" s="75">
        <v>0</v>
      </c>
      <c r="G104" s="75">
        <v>0</v>
      </c>
      <c r="H104" s="75">
        <v>0</v>
      </c>
      <c r="I104" s="75">
        <v>0</v>
      </c>
    </row>
    <row r="105" spans="2:9" ht="16.5" customHeight="1" x14ac:dyDescent="0.2">
      <c r="B105" s="112" t="s">
        <v>158</v>
      </c>
      <c r="C105" s="113"/>
      <c r="D105" s="114"/>
      <c r="E105" s="73">
        <f>+E106+E107</f>
        <v>0</v>
      </c>
      <c r="F105" s="73">
        <f t="shared" ref="F105:I105" si="37">+F106+F107</f>
        <v>20689</v>
      </c>
      <c r="G105" s="73">
        <f t="shared" si="37"/>
        <v>4000</v>
      </c>
      <c r="H105" s="73">
        <f t="shared" si="37"/>
        <v>64000</v>
      </c>
      <c r="I105" s="73">
        <f t="shared" si="37"/>
        <v>44000</v>
      </c>
    </row>
    <row r="106" spans="2:9" ht="16.5" customHeight="1" x14ac:dyDescent="0.2">
      <c r="B106" s="109" t="s">
        <v>159</v>
      </c>
      <c r="C106" s="110"/>
      <c r="D106" s="111"/>
      <c r="E106" s="75">
        <v>0</v>
      </c>
      <c r="F106" s="75">
        <v>20689</v>
      </c>
      <c r="G106" s="75">
        <v>4000</v>
      </c>
      <c r="H106" s="75">
        <v>4000</v>
      </c>
      <c r="I106" s="75">
        <v>4000</v>
      </c>
    </row>
    <row r="107" spans="2:9" ht="16.5" customHeight="1" x14ac:dyDescent="0.2">
      <c r="B107" s="109" t="s">
        <v>165</v>
      </c>
      <c r="C107" s="110"/>
      <c r="D107" s="111"/>
      <c r="E107" s="75">
        <v>0</v>
      </c>
      <c r="F107" s="75">
        <v>0</v>
      </c>
      <c r="G107" s="75">
        <v>0</v>
      </c>
      <c r="H107" s="75">
        <v>60000</v>
      </c>
      <c r="I107" s="75">
        <v>40000</v>
      </c>
    </row>
    <row r="108" spans="2:9" ht="16.5" customHeight="1" x14ac:dyDescent="0.2">
      <c r="B108" s="112" t="s">
        <v>167</v>
      </c>
      <c r="C108" s="113"/>
      <c r="D108" s="114"/>
      <c r="E108" s="73">
        <f>+E109</f>
        <v>2955.6699999999996</v>
      </c>
      <c r="F108" s="73">
        <f t="shared" ref="F108:I108" si="38">+F109</f>
        <v>0</v>
      </c>
      <c r="G108" s="73">
        <f t="shared" si="38"/>
        <v>0</v>
      </c>
      <c r="H108" s="73">
        <f t="shared" si="38"/>
        <v>0</v>
      </c>
      <c r="I108" s="73">
        <f t="shared" si="38"/>
        <v>0</v>
      </c>
    </row>
    <row r="109" spans="2:9" ht="16.5" customHeight="1" x14ac:dyDescent="0.2">
      <c r="B109" s="112" t="s">
        <v>168</v>
      </c>
      <c r="C109" s="113"/>
      <c r="D109" s="114"/>
      <c r="E109" s="73">
        <f>+E110+E112</f>
        <v>2955.6699999999996</v>
      </c>
      <c r="F109" s="73">
        <f t="shared" ref="F109:I109" si="39">+F110+F112</f>
        <v>0</v>
      </c>
      <c r="G109" s="73">
        <f t="shared" si="39"/>
        <v>0</v>
      </c>
      <c r="H109" s="73">
        <f t="shared" si="39"/>
        <v>0</v>
      </c>
      <c r="I109" s="73">
        <f t="shared" si="39"/>
        <v>0</v>
      </c>
    </row>
    <row r="110" spans="2:9" ht="16.5" customHeight="1" x14ac:dyDescent="0.2">
      <c r="B110" s="112" t="s">
        <v>125</v>
      </c>
      <c r="C110" s="113"/>
      <c r="D110" s="114"/>
      <c r="E110" s="73">
        <f>+E111</f>
        <v>265.45</v>
      </c>
      <c r="F110" s="73">
        <f t="shared" ref="F110:I110" si="40">+F111</f>
        <v>0</v>
      </c>
      <c r="G110" s="73">
        <f t="shared" si="40"/>
        <v>0</v>
      </c>
      <c r="H110" s="73">
        <f t="shared" si="40"/>
        <v>0</v>
      </c>
      <c r="I110" s="73">
        <f t="shared" si="40"/>
        <v>0</v>
      </c>
    </row>
    <row r="111" spans="2:9" ht="16.5" customHeight="1" x14ac:dyDescent="0.2">
      <c r="B111" s="109" t="s">
        <v>140</v>
      </c>
      <c r="C111" s="115"/>
      <c r="D111" s="116"/>
      <c r="E111" s="75">
        <v>265.45</v>
      </c>
      <c r="F111" s="75">
        <v>0</v>
      </c>
      <c r="G111" s="75">
        <v>0</v>
      </c>
      <c r="H111" s="75">
        <v>0</v>
      </c>
      <c r="I111" s="75">
        <v>0</v>
      </c>
    </row>
    <row r="112" spans="2:9" ht="16.5" customHeight="1" x14ac:dyDescent="0.2">
      <c r="B112" s="112" t="s">
        <v>158</v>
      </c>
      <c r="C112" s="113"/>
      <c r="D112" s="114"/>
      <c r="E112" s="73">
        <f>+E113</f>
        <v>2690.22</v>
      </c>
      <c r="F112" s="73">
        <f t="shared" ref="F112:I112" si="41">+F113</f>
        <v>0</v>
      </c>
      <c r="G112" s="73">
        <f t="shared" si="41"/>
        <v>0</v>
      </c>
      <c r="H112" s="73">
        <f t="shared" si="41"/>
        <v>0</v>
      </c>
      <c r="I112" s="73">
        <f t="shared" si="41"/>
        <v>0</v>
      </c>
    </row>
    <row r="113" spans="2:9" ht="16.5" customHeight="1" x14ac:dyDescent="0.2">
      <c r="B113" s="109" t="s">
        <v>165</v>
      </c>
      <c r="C113" s="110"/>
      <c r="D113" s="111"/>
      <c r="E113" s="75">
        <v>2690.22</v>
      </c>
      <c r="F113" s="75">
        <v>0</v>
      </c>
      <c r="G113" s="75">
        <v>0</v>
      </c>
      <c r="H113" s="75">
        <v>0</v>
      </c>
      <c r="I113" s="75">
        <v>0</v>
      </c>
    </row>
    <row r="114" spans="2:9" ht="24.75" customHeight="1" x14ac:dyDescent="0.2">
      <c r="B114" s="112" t="s">
        <v>169</v>
      </c>
      <c r="C114" s="133"/>
      <c r="D114" s="134"/>
      <c r="E114" s="73">
        <f>+E115</f>
        <v>1528.97</v>
      </c>
      <c r="F114" s="73">
        <f t="shared" ref="F114:I116" si="42">+F115</f>
        <v>0</v>
      </c>
      <c r="G114" s="73">
        <f t="shared" si="42"/>
        <v>0</v>
      </c>
      <c r="H114" s="73">
        <f t="shared" si="42"/>
        <v>0</v>
      </c>
      <c r="I114" s="73">
        <f t="shared" si="42"/>
        <v>0</v>
      </c>
    </row>
    <row r="115" spans="2:9" ht="27.75" customHeight="1" x14ac:dyDescent="0.2">
      <c r="B115" s="112" t="s">
        <v>170</v>
      </c>
      <c r="C115" s="133"/>
      <c r="D115" s="134"/>
      <c r="E115" s="73">
        <f>+E116</f>
        <v>1528.97</v>
      </c>
      <c r="F115" s="73">
        <f t="shared" si="42"/>
        <v>0</v>
      </c>
      <c r="G115" s="73">
        <f t="shared" si="42"/>
        <v>0</v>
      </c>
      <c r="H115" s="73">
        <f t="shared" si="42"/>
        <v>0</v>
      </c>
      <c r="I115" s="73">
        <f t="shared" si="42"/>
        <v>0</v>
      </c>
    </row>
    <row r="116" spans="2:9" ht="16.5" customHeight="1" x14ac:dyDescent="0.2">
      <c r="B116" s="112" t="s">
        <v>158</v>
      </c>
      <c r="C116" s="113"/>
      <c r="D116" s="114"/>
      <c r="E116" s="73">
        <f>+E117</f>
        <v>1528.97</v>
      </c>
      <c r="F116" s="73">
        <f t="shared" si="42"/>
        <v>0</v>
      </c>
      <c r="G116" s="73">
        <f t="shared" si="42"/>
        <v>0</v>
      </c>
      <c r="H116" s="73">
        <f t="shared" si="42"/>
        <v>0</v>
      </c>
      <c r="I116" s="73">
        <f t="shared" si="42"/>
        <v>0</v>
      </c>
    </row>
    <row r="117" spans="2:9" ht="16.5" customHeight="1" x14ac:dyDescent="0.2">
      <c r="B117" s="109" t="s">
        <v>165</v>
      </c>
      <c r="C117" s="110"/>
      <c r="D117" s="111"/>
      <c r="E117" s="75">
        <v>1528.97</v>
      </c>
      <c r="F117" s="75">
        <v>0</v>
      </c>
      <c r="G117" s="75">
        <v>0</v>
      </c>
      <c r="H117" s="75">
        <v>0</v>
      </c>
      <c r="I117" s="75">
        <v>0</v>
      </c>
    </row>
    <row r="118" spans="2:9" ht="36.75" customHeight="1" x14ac:dyDescent="0.2">
      <c r="B118" s="117" t="s">
        <v>172</v>
      </c>
      <c r="C118" s="118"/>
      <c r="D118" s="119"/>
      <c r="E118" s="80">
        <f>+E119</f>
        <v>477399.23</v>
      </c>
      <c r="F118" s="80">
        <f t="shared" ref="F118:I119" si="43">+F119</f>
        <v>0</v>
      </c>
      <c r="G118" s="80">
        <f t="shared" si="43"/>
        <v>0</v>
      </c>
      <c r="H118" s="80">
        <f t="shared" si="43"/>
        <v>0</v>
      </c>
      <c r="I118" s="80">
        <f t="shared" si="43"/>
        <v>0</v>
      </c>
    </row>
    <row r="119" spans="2:9" ht="21" customHeight="1" x14ac:dyDescent="0.2">
      <c r="B119" s="112" t="s">
        <v>156</v>
      </c>
      <c r="C119" s="133"/>
      <c r="D119" s="134"/>
      <c r="E119" s="73">
        <f>+E120</f>
        <v>477399.23</v>
      </c>
      <c r="F119" s="73">
        <f t="shared" si="43"/>
        <v>0</v>
      </c>
      <c r="G119" s="73">
        <f t="shared" si="43"/>
        <v>0</v>
      </c>
      <c r="H119" s="73">
        <f t="shared" si="43"/>
        <v>0</v>
      </c>
      <c r="I119" s="73">
        <f t="shared" si="43"/>
        <v>0</v>
      </c>
    </row>
    <row r="120" spans="2:9" ht="18.75" customHeight="1" x14ac:dyDescent="0.2">
      <c r="B120" s="112" t="s">
        <v>171</v>
      </c>
      <c r="C120" s="133"/>
      <c r="D120" s="134"/>
      <c r="E120" s="73">
        <f>+E121+E124</f>
        <v>477399.23</v>
      </c>
      <c r="F120" s="73">
        <f t="shared" ref="F120:I120" si="44">+F121+F124</f>
        <v>0</v>
      </c>
      <c r="G120" s="73">
        <f t="shared" si="44"/>
        <v>0</v>
      </c>
      <c r="H120" s="73">
        <f t="shared" si="44"/>
        <v>0</v>
      </c>
      <c r="I120" s="73">
        <f t="shared" si="44"/>
        <v>0</v>
      </c>
    </row>
    <row r="121" spans="2:9" ht="16.5" customHeight="1" x14ac:dyDescent="0.2">
      <c r="B121" s="112" t="s">
        <v>125</v>
      </c>
      <c r="C121" s="113"/>
      <c r="D121" s="114"/>
      <c r="E121" s="73">
        <f>+E122+E123</f>
        <v>98746.659999999989</v>
      </c>
      <c r="F121" s="73">
        <f t="shared" ref="F121:I121" si="45">+F122+F123</f>
        <v>0</v>
      </c>
      <c r="G121" s="73">
        <f t="shared" si="45"/>
        <v>0</v>
      </c>
      <c r="H121" s="73">
        <f t="shared" si="45"/>
        <v>0</v>
      </c>
      <c r="I121" s="73">
        <f t="shared" si="45"/>
        <v>0</v>
      </c>
    </row>
    <row r="122" spans="2:9" ht="16.5" customHeight="1" x14ac:dyDescent="0.2">
      <c r="B122" s="109" t="s">
        <v>163</v>
      </c>
      <c r="C122" s="110"/>
      <c r="D122" s="111"/>
      <c r="E122" s="75">
        <v>4230.54</v>
      </c>
      <c r="F122" s="75">
        <v>0</v>
      </c>
      <c r="G122" s="75">
        <v>0</v>
      </c>
      <c r="H122" s="75">
        <v>0</v>
      </c>
      <c r="I122" s="75">
        <v>0</v>
      </c>
    </row>
    <row r="123" spans="2:9" ht="16.5" customHeight="1" x14ac:dyDescent="0.2">
      <c r="B123" s="109" t="s">
        <v>140</v>
      </c>
      <c r="C123" s="115"/>
      <c r="D123" s="116"/>
      <c r="E123" s="75">
        <v>94516.12</v>
      </c>
      <c r="F123" s="75">
        <v>0</v>
      </c>
      <c r="G123" s="75">
        <v>0</v>
      </c>
      <c r="H123" s="75">
        <v>0</v>
      </c>
      <c r="I123" s="75">
        <v>0</v>
      </c>
    </row>
    <row r="124" spans="2:9" ht="16.5" customHeight="1" x14ac:dyDescent="0.2">
      <c r="B124" s="112" t="s">
        <v>158</v>
      </c>
      <c r="C124" s="113"/>
      <c r="D124" s="114"/>
      <c r="E124" s="73">
        <f>+E125</f>
        <v>378652.57</v>
      </c>
      <c r="F124" s="73">
        <f t="shared" ref="F124:I124" si="46">+F125</f>
        <v>0</v>
      </c>
      <c r="G124" s="73">
        <f t="shared" si="46"/>
        <v>0</v>
      </c>
      <c r="H124" s="73">
        <f t="shared" si="46"/>
        <v>0</v>
      </c>
      <c r="I124" s="73">
        <f t="shared" si="46"/>
        <v>0</v>
      </c>
    </row>
    <row r="125" spans="2:9" ht="16.5" customHeight="1" x14ac:dyDescent="0.2">
      <c r="B125" s="109" t="s">
        <v>159</v>
      </c>
      <c r="C125" s="110"/>
      <c r="D125" s="111"/>
      <c r="E125" s="75">
        <v>378652.57</v>
      </c>
      <c r="F125" s="75">
        <v>0</v>
      </c>
      <c r="G125" s="75">
        <v>0</v>
      </c>
      <c r="H125" s="75">
        <v>0</v>
      </c>
      <c r="I125" s="75">
        <v>0</v>
      </c>
    </row>
    <row r="126" spans="2:9" ht="32.25" customHeight="1" x14ac:dyDescent="0.2">
      <c r="B126" s="117" t="s">
        <v>173</v>
      </c>
      <c r="C126" s="118"/>
      <c r="D126" s="119"/>
      <c r="E126" s="80">
        <f>+E127</f>
        <v>144470</v>
      </c>
      <c r="F126" s="80">
        <f t="shared" ref="F126:I127" si="47">+F127</f>
        <v>0</v>
      </c>
      <c r="G126" s="80">
        <f t="shared" si="47"/>
        <v>0</v>
      </c>
      <c r="H126" s="80">
        <f t="shared" si="47"/>
        <v>0</v>
      </c>
      <c r="I126" s="80">
        <f t="shared" si="47"/>
        <v>0</v>
      </c>
    </row>
    <row r="127" spans="2:9" ht="18" customHeight="1" x14ac:dyDescent="0.2">
      <c r="B127" s="112" t="s">
        <v>156</v>
      </c>
      <c r="C127" s="133"/>
      <c r="D127" s="134"/>
      <c r="E127" s="73">
        <f>+E128</f>
        <v>144470</v>
      </c>
      <c r="F127" s="73">
        <f t="shared" si="47"/>
        <v>0</v>
      </c>
      <c r="G127" s="73">
        <f t="shared" si="47"/>
        <v>0</v>
      </c>
      <c r="H127" s="73">
        <f t="shared" si="47"/>
        <v>0</v>
      </c>
      <c r="I127" s="73">
        <f t="shared" si="47"/>
        <v>0</v>
      </c>
    </row>
    <row r="128" spans="2:9" ht="18" customHeight="1" x14ac:dyDescent="0.2">
      <c r="B128" s="112" t="s">
        <v>157</v>
      </c>
      <c r="C128" s="133"/>
      <c r="D128" s="134"/>
      <c r="E128" s="73">
        <f>+E129+E132</f>
        <v>144470</v>
      </c>
      <c r="F128" s="73">
        <f t="shared" ref="F128:I128" si="48">+F129+F132</f>
        <v>0</v>
      </c>
      <c r="G128" s="73">
        <f t="shared" si="48"/>
        <v>0</v>
      </c>
      <c r="H128" s="73">
        <f t="shared" si="48"/>
        <v>0</v>
      </c>
      <c r="I128" s="73">
        <f t="shared" si="48"/>
        <v>0</v>
      </c>
    </row>
    <row r="129" spans="2:9" ht="18" customHeight="1" x14ac:dyDescent="0.2">
      <c r="B129" s="112" t="s">
        <v>125</v>
      </c>
      <c r="C129" s="113"/>
      <c r="D129" s="114"/>
      <c r="E129" s="73">
        <f>+E130+E131</f>
        <v>16490.190000000002</v>
      </c>
      <c r="F129" s="73">
        <f t="shared" ref="F129:I129" si="49">+F130+F131</f>
        <v>0</v>
      </c>
      <c r="G129" s="73">
        <f t="shared" si="49"/>
        <v>0</v>
      </c>
      <c r="H129" s="73">
        <f t="shared" si="49"/>
        <v>0</v>
      </c>
      <c r="I129" s="73">
        <f t="shared" si="49"/>
        <v>0</v>
      </c>
    </row>
    <row r="130" spans="2:9" ht="18" customHeight="1" x14ac:dyDescent="0.2">
      <c r="B130" s="109" t="s">
        <v>163</v>
      </c>
      <c r="C130" s="110"/>
      <c r="D130" s="111"/>
      <c r="E130" s="75">
        <v>746.57</v>
      </c>
      <c r="F130" s="75">
        <v>0</v>
      </c>
      <c r="G130" s="75">
        <v>0</v>
      </c>
      <c r="H130" s="75">
        <v>0</v>
      </c>
      <c r="I130" s="75">
        <v>0</v>
      </c>
    </row>
    <row r="131" spans="2:9" ht="18" customHeight="1" x14ac:dyDescent="0.2">
      <c r="B131" s="109" t="s">
        <v>140</v>
      </c>
      <c r="C131" s="115"/>
      <c r="D131" s="116"/>
      <c r="E131" s="75">
        <v>15743.62</v>
      </c>
      <c r="F131" s="75">
        <v>0</v>
      </c>
      <c r="G131" s="75">
        <v>0</v>
      </c>
      <c r="H131" s="75">
        <v>0</v>
      </c>
      <c r="I131" s="75">
        <v>0</v>
      </c>
    </row>
    <row r="132" spans="2:9" ht="18" customHeight="1" x14ac:dyDescent="0.2">
      <c r="B132" s="112" t="s">
        <v>158</v>
      </c>
      <c r="C132" s="113"/>
      <c r="D132" s="114"/>
      <c r="E132" s="73">
        <f>+E133</f>
        <v>127979.81</v>
      </c>
      <c r="F132" s="73">
        <f t="shared" ref="F132:I132" si="50">+F133</f>
        <v>0</v>
      </c>
      <c r="G132" s="73">
        <f t="shared" si="50"/>
        <v>0</v>
      </c>
      <c r="H132" s="73">
        <f t="shared" si="50"/>
        <v>0</v>
      </c>
      <c r="I132" s="73">
        <f t="shared" si="50"/>
        <v>0</v>
      </c>
    </row>
    <row r="133" spans="2:9" ht="18" customHeight="1" x14ac:dyDescent="0.2">
      <c r="B133" s="109" t="s">
        <v>159</v>
      </c>
      <c r="C133" s="110"/>
      <c r="D133" s="111"/>
      <c r="E133" s="75">
        <v>127979.81</v>
      </c>
      <c r="F133" s="75">
        <v>0</v>
      </c>
      <c r="G133" s="75">
        <v>0</v>
      </c>
      <c r="H133" s="75">
        <v>0</v>
      </c>
      <c r="I133" s="75">
        <v>0</v>
      </c>
    </row>
  </sheetData>
  <mergeCells count="130">
    <mergeCell ref="B133:D133"/>
    <mergeCell ref="B124:D124"/>
    <mergeCell ref="B132:D132"/>
    <mergeCell ref="B90:D90"/>
    <mergeCell ref="B17:C17"/>
    <mergeCell ref="B69:D69"/>
    <mergeCell ref="B127:D127"/>
    <mergeCell ref="B128:D128"/>
    <mergeCell ref="B129:D129"/>
    <mergeCell ref="B130:D130"/>
    <mergeCell ref="B131:D131"/>
    <mergeCell ref="B122:D122"/>
    <mergeCell ref="B118:D118"/>
    <mergeCell ref="B123:D123"/>
    <mergeCell ref="B125:D125"/>
    <mergeCell ref="B126:D126"/>
    <mergeCell ref="B116:D116"/>
    <mergeCell ref="B117:D117"/>
    <mergeCell ref="B119:D119"/>
    <mergeCell ref="B120:D120"/>
    <mergeCell ref="B121:D121"/>
    <mergeCell ref="B111:D111"/>
    <mergeCell ref="B112:D112"/>
    <mergeCell ref="B113:D113"/>
    <mergeCell ref="B114:D114"/>
    <mergeCell ref="B115:D115"/>
    <mergeCell ref="B108:D108"/>
    <mergeCell ref="B109:D109"/>
    <mergeCell ref="B110:D110"/>
    <mergeCell ref="B8:C8"/>
    <mergeCell ref="B6:C6"/>
    <mergeCell ref="B71:D71"/>
    <mergeCell ref="B77:D77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2:H2"/>
    <mergeCell ref="B4:H4"/>
    <mergeCell ref="B7:C7"/>
    <mergeCell ref="B21:C21"/>
    <mergeCell ref="B9:C9"/>
    <mergeCell ref="B10:C10"/>
    <mergeCell ref="B11:C11"/>
    <mergeCell ref="B12:C12"/>
    <mergeCell ref="B13:C13"/>
    <mergeCell ref="B14:C14"/>
    <mergeCell ref="B15:C15"/>
    <mergeCell ref="B16:C16"/>
    <mergeCell ref="B18:C18"/>
    <mergeCell ref="B19:C19"/>
    <mergeCell ref="B20:C20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7:D57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72:D72"/>
    <mergeCell ref="B58:D58"/>
    <mergeCell ref="B60:D60"/>
    <mergeCell ref="B61:D61"/>
    <mergeCell ref="B62:D62"/>
    <mergeCell ref="B63:D63"/>
    <mergeCell ref="B64:D64"/>
    <mergeCell ref="B65:D65"/>
    <mergeCell ref="B66:D66"/>
    <mergeCell ref="B67:D67"/>
    <mergeCell ref="B68:D68"/>
    <mergeCell ref="B59:D59"/>
    <mergeCell ref="B70:D70"/>
    <mergeCell ref="B92:D92"/>
    <mergeCell ref="B73:D73"/>
    <mergeCell ref="B74:D74"/>
    <mergeCell ref="B75:D75"/>
    <mergeCell ref="B76:D76"/>
    <mergeCell ref="B79:D79"/>
    <mergeCell ref="B84:D84"/>
    <mergeCell ref="B78:D78"/>
    <mergeCell ref="B80:D80"/>
    <mergeCell ref="B83:D83"/>
    <mergeCell ref="B85:D85"/>
    <mergeCell ref="B86:D86"/>
    <mergeCell ref="B87:D87"/>
    <mergeCell ref="B89:D89"/>
    <mergeCell ref="B91:D91"/>
    <mergeCell ref="B82:D82"/>
    <mergeCell ref="B81:D81"/>
    <mergeCell ref="B88:D88"/>
    <mergeCell ref="B107:D107"/>
    <mergeCell ref="B106:D106"/>
    <mergeCell ref="B93:D93"/>
    <mergeCell ref="B94:D94"/>
    <mergeCell ref="B99:D99"/>
    <mergeCell ref="B100:D100"/>
    <mergeCell ref="B102:D102"/>
    <mergeCell ref="B105:D105"/>
    <mergeCell ref="B95:D95"/>
    <mergeCell ref="B96:D96"/>
    <mergeCell ref="B98:D98"/>
    <mergeCell ref="B101:D101"/>
    <mergeCell ref="B103:D103"/>
    <mergeCell ref="B104:D104"/>
    <mergeCell ref="B97:D97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52" orientation="landscape" r:id="rId1"/>
  <rowBreaks count="1" manualBreakCount="1">
    <brk id="60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16"/>
  <sheetViews>
    <sheetView topLeftCell="A4" workbookViewId="0">
      <selection activeCell="A6" sqref="A6"/>
    </sheetView>
  </sheetViews>
  <sheetFormatPr defaultRowHeight="15" x14ac:dyDescent="0.25"/>
  <cols>
    <col min="1" max="2" width="36.7109375" customWidth="1"/>
    <col min="3" max="7" width="19.42578125" customWidth="1"/>
    <col min="8" max="9" width="24.28515625" customWidth="1"/>
  </cols>
  <sheetData>
    <row r="1" spans="1:9" ht="18" x14ac:dyDescent="0.25">
      <c r="A1" s="5"/>
      <c r="B1" s="5"/>
      <c r="C1" s="5"/>
      <c r="D1" s="5"/>
      <c r="E1" s="5"/>
      <c r="F1" s="5"/>
      <c r="G1" s="5"/>
      <c r="H1" s="6"/>
      <c r="I1" s="6"/>
    </row>
    <row r="2" spans="1:9" ht="18" customHeight="1" x14ac:dyDescent="0.25">
      <c r="A2" s="92" t="s">
        <v>14</v>
      </c>
      <c r="B2" s="92"/>
      <c r="C2" s="92"/>
      <c r="D2" s="92"/>
      <c r="E2" s="92"/>
      <c r="F2" s="92"/>
      <c r="G2" s="92"/>
      <c r="H2" s="30"/>
      <c r="I2" s="30"/>
    </row>
    <row r="3" spans="1:9" ht="18" x14ac:dyDescent="0.25">
      <c r="A3" s="5"/>
      <c r="B3" s="5"/>
      <c r="C3" s="5"/>
      <c r="D3" s="5"/>
      <c r="E3" s="5"/>
      <c r="F3" s="5"/>
      <c r="G3" s="5"/>
      <c r="H3" s="6"/>
      <c r="I3" s="6"/>
    </row>
    <row r="4" spans="1:9" ht="25.5" x14ac:dyDescent="0.25">
      <c r="A4" s="104" t="s">
        <v>10</v>
      </c>
      <c r="B4" s="105"/>
      <c r="C4" s="38" t="s">
        <v>42</v>
      </c>
      <c r="D4" s="38" t="s">
        <v>43</v>
      </c>
      <c r="E4" s="39" t="s">
        <v>44</v>
      </c>
      <c r="F4" s="39" t="s">
        <v>45</v>
      </c>
      <c r="G4" s="39" t="s">
        <v>46</v>
      </c>
    </row>
    <row r="5" spans="1:9" ht="25.5" customHeight="1" x14ac:dyDescent="0.25">
      <c r="A5" s="48" t="s">
        <v>56</v>
      </c>
      <c r="B5" s="47" t="s">
        <v>57</v>
      </c>
      <c r="C5" s="34"/>
      <c r="D5" s="34"/>
      <c r="E5" s="10"/>
      <c r="F5" s="10"/>
      <c r="G5" s="10"/>
    </row>
    <row r="6" spans="1:9" ht="25.5" customHeight="1" x14ac:dyDescent="0.25">
      <c r="A6" s="48" t="s">
        <v>58</v>
      </c>
      <c r="B6" s="47" t="s">
        <v>59</v>
      </c>
      <c r="C6" s="34"/>
      <c r="D6" s="34"/>
      <c r="E6" s="10"/>
      <c r="F6" s="10"/>
      <c r="G6" s="10"/>
    </row>
    <row r="7" spans="1:9" ht="25.5" customHeight="1" x14ac:dyDescent="0.25">
      <c r="A7" s="48" t="s">
        <v>60</v>
      </c>
      <c r="B7" s="47" t="s">
        <v>61</v>
      </c>
      <c r="C7" s="34"/>
      <c r="D7" s="34"/>
      <c r="E7" s="10"/>
      <c r="F7" s="10"/>
      <c r="G7" s="10"/>
    </row>
    <row r="8" spans="1:9" ht="25.5" customHeight="1" x14ac:dyDescent="0.25">
      <c r="A8" s="48" t="s">
        <v>70</v>
      </c>
      <c r="B8" s="47" t="s">
        <v>71</v>
      </c>
      <c r="C8" s="34"/>
      <c r="D8" s="34"/>
      <c r="E8" s="10"/>
      <c r="F8" s="10"/>
      <c r="G8" s="10"/>
    </row>
    <row r="9" spans="1:9" ht="25.5" customHeight="1" x14ac:dyDescent="0.25">
      <c r="A9" s="48" t="s">
        <v>62</v>
      </c>
      <c r="B9" s="47" t="s">
        <v>63</v>
      </c>
      <c r="C9" s="34"/>
      <c r="D9" s="34"/>
      <c r="E9" s="10"/>
      <c r="F9" s="10"/>
      <c r="G9" s="10"/>
    </row>
    <row r="10" spans="1:9" ht="25.5" customHeight="1" x14ac:dyDescent="0.25">
      <c r="A10" s="48" t="s">
        <v>64</v>
      </c>
      <c r="B10" s="47" t="s">
        <v>65</v>
      </c>
      <c r="C10" s="26"/>
      <c r="D10" s="26"/>
      <c r="E10" s="10"/>
      <c r="F10" s="10"/>
      <c r="G10" s="11"/>
    </row>
    <row r="11" spans="1:9" ht="25.5" customHeight="1" x14ac:dyDescent="0.25">
      <c r="A11" s="48" t="s">
        <v>58</v>
      </c>
      <c r="B11" s="47" t="s">
        <v>59</v>
      </c>
      <c r="C11" s="26"/>
      <c r="D11" s="26"/>
      <c r="E11" s="10"/>
      <c r="F11" s="10"/>
      <c r="G11" s="11"/>
    </row>
    <row r="12" spans="1:9" ht="25.5" customHeight="1" x14ac:dyDescent="0.25">
      <c r="A12" s="48" t="s">
        <v>66</v>
      </c>
      <c r="B12" s="47" t="s">
        <v>67</v>
      </c>
      <c r="C12" s="26"/>
      <c r="D12" s="26"/>
      <c r="E12" s="10"/>
      <c r="F12" s="10"/>
      <c r="G12" s="11"/>
    </row>
    <row r="13" spans="1:9" ht="25.5" customHeight="1" x14ac:dyDescent="0.25">
      <c r="A13" s="48" t="s">
        <v>68</v>
      </c>
      <c r="B13" s="47" t="s">
        <v>69</v>
      </c>
      <c r="C13" s="26"/>
      <c r="D13" s="26"/>
      <c r="E13" s="10"/>
      <c r="F13" s="10"/>
      <c r="G13" s="11"/>
    </row>
    <row r="14" spans="1:9" ht="25.5" customHeight="1" x14ac:dyDescent="0.25">
      <c r="A14" s="48" t="s">
        <v>64</v>
      </c>
      <c r="B14" s="47" t="s">
        <v>65</v>
      </c>
      <c r="C14" s="34"/>
      <c r="D14" s="34"/>
      <c r="E14" s="10"/>
      <c r="F14" s="10"/>
      <c r="G14" s="10"/>
    </row>
    <row r="15" spans="1:9" ht="25.5" customHeight="1" x14ac:dyDescent="0.25">
      <c r="A15" s="48" t="s">
        <v>58</v>
      </c>
      <c r="B15" s="47" t="s">
        <v>59</v>
      </c>
      <c r="C15" s="34"/>
      <c r="D15" s="34"/>
      <c r="E15" s="10"/>
      <c r="F15" s="10"/>
      <c r="G15" s="10"/>
    </row>
    <row r="16" spans="1:9" ht="25.5" customHeight="1" x14ac:dyDescent="0.25">
      <c r="A16" s="48" t="s">
        <v>66</v>
      </c>
      <c r="B16" s="47" t="s">
        <v>67</v>
      </c>
      <c r="C16" s="26"/>
      <c r="D16" s="26"/>
      <c r="E16" s="10"/>
      <c r="F16" s="10"/>
      <c r="G16" s="11"/>
    </row>
  </sheetData>
  <mergeCells count="2">
    <mergeCell ref="A4:B4"/>
    <mergeCell ref="A2:G2"/>
  </mergeCells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8</vt:i4>
      </vt:variant>
      <vt:variant>
        <vt:lpstr>Imenovani rasponi</vt:lpstr>
      </vt:variant>
      <vt:variant>
        <vt:i4>8</vt:i4>
      </vt:variant>
    </vt:vector>
  </HeadingPairs>
  <TitlesOfParts>
    <vt:vector size="16" baseType="lpstr">
      <vt:lpstr>SAŽETAK</vt:lpstr>
      <vt:lpstr> Račun prihoda i rashoda-ekonom</vt:lpstr>
      <vt:lpstr> Račun prihoda i rashoda-izvori</vt:lpstr>
      <vt:lpstr> Račun rashoda-funkcija</vt:lpstr>
      <vt:lpstr> Račun financiranja-ekonomska</vt:lpstr>
      <vt:lpstr> Račun financiranja-izvori</vt:lpstr>
      <vt:lpstr>POSEBNI DIO</vt:lpstr>
      <vt:lpstr>POSEBNI DIO-UPUTA</vt:lpstr>
      <vt:lpstr>' Račun financiranja-ekonomska'!Podrucje_ispisa</vt:lpstr>
      <vt:lpstr>' Račun financiranja-izvori'!Podrucje_ispisa</vt:lpstr>
      <vt:lpstr>' Račun prihoda i rashoda-ekonom'!Podrucje_ispisa</vt:lpstr>
      <vt:lpstr>' Račun prihoda i rashoda-izvori'!Podrucje_ispisa</vt:lpstr>
      <vt:lpstr>' Račun rashoda-funkcija'!Podrucje_ispisa</vt:lpstr>
      <vt:lpstr>'POSEBNI DIO'!Podrucje_ispisa</vt:lpstr>
      <vt:lpstr>'POSEBNI DIO-UPUTA'!Podrucje_ispisa</vt:lpstr>
      <vt:lpstr>SAŽETAK!Podrucje_ispisa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Korisnik</cp:lastModifiedBy>
  <cp:lastPrinted>2024-02-07T13:03:12Z</cp:lastPrinted>
  <dcterms:created xsi:type="dcterms:W3CDTF">2022-08-12T12:51:27Z</dcterms:created>
  <dcterms:modified xsi:type="dcterms:W3CDTF">2024-02-07T13:07:21Z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14. Format izgleda financijskog plana proračunskog korisnika.xlsx</vt:lpwstr>
  </property>
</Properties>
</file>